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5\"/>
    </mc:Choice>
  </mc:AlternateContent>
  <xr:revisionPtr revIDLastSave="0" documentId="13_ncr:1_{3D454DAD-642C-429C-AE38-45B2AD4BDA44}" xr6:coauthVersionLast="47" xr6:coauthVersionMax="47" xr10:uidLastSave="{00000000-0000-0000-0000-000000000000}"/>
  <bookViews>
    <workbookView xWindow="-108" yWindow="-108" windowWidth="23256" windowHeight="13896" tabRatio="916" activeTab="8"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Q780" i="15" l="1"/>
  <c r="AP780" i="15"/>
  <c r="AZ780" i="15"/>
  <c r="AX780" i="15"/>
  <c r="AW780" i="15" s="1"/>
  <c r="AV780" i="15"/>
  <c r="AU780" i="15"/>
  <c r="AT780" i="15"/>
  <c r="AS780" i="15"/>
  <c r="AO780" i="15"/>
  <c r="AX711" i="15"/>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K780" i="15"/>
  <c r="AL780" i="15"/>
  <c r="AN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U37" i="23" l="1"/>
  <c r="AK499" i="9"/>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S106" i="9" l="1"/>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E448" i="12" l="1"/>
  <c r="D182" i="9"/>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E192" i="9" l="1"/>
  <c r="E189" i="9"/>
  <c r="AN561" i="12"/>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N179" i="12" s="1"/>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<sst xmlns="http://schemas.openxmlformats.org/spreadsheetml/2006/main" count="17262" uniqueCount="3149">
  <si>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</si>
  <si>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</si>
  <si>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</si>
  <si>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</si>
  <si>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</si>
  <si>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</si>
  <si>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</si>
  <si>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</si>
  <si>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</si>
  <si>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</si>
  <si>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</si>
  <si>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</si>
  <si>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</si>
  <si>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</si>
  <si>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</si>
  <si>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</si>
  <si>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</si>
  <si>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</si>
  <si>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</si>
  <si>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</si>
  <si>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</si>
  <si>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</si>
  <si>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</si>
  <si>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</si>
  <si>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</si>
  <si>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</si>
  <si>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</si>
  <si>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</si>
  <si>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</si>
  <si>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</si>
  <si>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</si>
  <si>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</si>
  <si>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</si>
  <si>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</si>
  <si>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</si>
  <si>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</si>
  <si>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</si>
  <si>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</si>
  <si>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</si>
  <si>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</si>
  <si>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</si>
  <si>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</si>
  <si>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</si>
  <si>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</si>
  <si>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</si>
  <si>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</si>
  <si>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</si>
  <si>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</si>
  <si>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</si>
  <si>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</si>
  <si>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</si>
  <si>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</si>
  <si>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</si>
  <si>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</si>
  <si>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</si>
  <si>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</si>
  <si>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</si>
  <si>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</si>
  <si>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</si>
  <si>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</si>
  <si>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</si>
  <si>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</si>
  <si>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</si>
  <si>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</si>
  <si>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</si>
  <si>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</si>
  <si>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</si>
  <si>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</si>
  <si>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</si>
  <si>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</si>
  <si>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</si>
  <si>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</si>
  <si>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</si>
  <si>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</si>
  <si>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</si>
  <si>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</si>
  <si>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</si>
  <si>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</si>
  <si>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</si>
  <si>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</si>
  <si>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</si>
  <si>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</si>
  <si>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</si>
  <si>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</si>
  <si>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</si>
  <si>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</si>
  <si>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</si>
  <si>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</si>
  <si>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</si>
  <si>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</si>
  <si>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</si>
  <si>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</si>
  <si>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</si>
  <si>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</si>
  <si>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</si>
  <si>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</si>
  <si>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</si>
  <si>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</si>
  <si>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</si>
  <si>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</si>
  <si>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</si>
  <si>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</si>
  <si>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</si>
  <si>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</si>
  <si>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</si>
  <si>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</si>
  <si>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</si>
  <si>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</si>
  <si>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</si>
  <si>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</si>
  <si>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</si>
  <si>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</si>
  <si>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</si>
  <si>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</si>
  <si>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</si>
  <si>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</si>
  <si>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</si>
  <si>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</si>
  <si>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</si>
  <si>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</si>
  <si>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</si>
  <si>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</si>
  <si>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</si>
  <si>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</si>
  <si>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</si>
  <si>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</si>
  <si>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</si>
  <si>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</si>
  <si>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</si>
  <si>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</si>
  <si>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</si>
  <si>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</si>
  <si>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</si>
  <si>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</si>
  <si>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</si>
  <si>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</si>
  <si>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</si>
  <si>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</si>
  <si>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</si>
  <si>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</si>
  <si>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</si>
  <si>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</si>
  <si>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</si>
  <si>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</si>
  <si>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</si>
  <si>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</si>
  <si>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</si>
  <si>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</si>
  <si>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</si>
  <si>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</si>
  <si>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</si>
  <si>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</si>
  <si>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</si>
  <si>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</si>
  <si>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</si>
  <si>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</si>
  <si>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</si>
  <si>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</si>
  <si>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</si>
  <si>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</si>
  <si>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</si>
  <si>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</si>
  <si>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</si>
  <si>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</si>
  <si>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</si>
  <si>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</si>
  <si>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</si>
  <si>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</si>
  <si>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</si>
  <si>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</si>
  <si>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</si>
  <si>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</si>
  <si>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</si>
  <si>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</si>
  <si>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</si>
  <si>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</si>
  <si>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</si>
  <si>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</si>
  <si>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</si>
  <si>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</si>
  <si>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</si>
  <si>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</si>
  <si>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</si>
  <si>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</si>
  <si>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</si>
  <si>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</si>
  <si>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</si>
  <si>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</si>
  <si>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</si>
  <si>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</si>
  <si>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</si>
  <si>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</si>
  <si>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</si>
  <si>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</si>
  <si>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</si>
  <si>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</si>
  <si>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</si>
  <si>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</si>
  <si>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</si>
  <si>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</si>
  <si>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</si>
  <si>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</si>
  <si>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</si>
  <si>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</si>
  <si>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</si>
  <si>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</si>
  <si>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</si>
  <si>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</si>
  <si>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</si>
  <si>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</si>
  <si>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</si>
  <si>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</si>
  <si>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</si>
  <si>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</si>
  <si>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</si>
  <si>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</si>
  <si>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</si>
  <si>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</si>
  <si>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</si>
  <si>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</si>
  <si>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</si>
  <si>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</si>
  <si>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</si>
  <si>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</si>
  <si>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</si>
  <si>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</si>
  <si>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</si>
  <si>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</si>
  <si>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</si>
  <si>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</si>
  <si>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</si>
  <si>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</si>
  <si>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</si>
  <si>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</si>
  <si>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</si>
  <si>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</si>
  <si>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</si>
  <si>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</si>
  <si>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</si>
  <si>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</si>
  <si>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</si>
  <si>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</si>
  <si>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</si>
  <si>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</si>
  <si>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</si>
  <si>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</si>
  <si>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</si>
  <si>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</si>
  <si>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</si>
  <si>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</si>
  <si>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</si>
  <si>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</si>
  <si>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</si>
  <si>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</si>
  <si>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</si>
  <si>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</si>
  <si>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</si>
  <si>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</si>
  <si>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</si>
  <si>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</si>
  <si>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</si>
  <si>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</si>
  <si>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</si>
  <si>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</si>
  <si>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</si>
  <si>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</si>
  <si>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</si>
  <si>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</si>
  <si>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</si>
  <si>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</si>
  <si>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</si>
  <si>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</si>
  <si>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</si>
  <si>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</si>
  <si>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</si>
  <si>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</si>
  <si>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</si>
  <si>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</si>
  <si>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</si>
  <si>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</si>
  <si>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</si>
  <si>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</si>
  <si>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</si>
  <si>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</si>
  <si>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</si>
  <si>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</si>
  <si>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</si>
  <si>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</si>
  <si>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</si>
  <si>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</si>
  <si>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</si>
  <si>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</si>
  <si>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</si>
  <si>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</si>
  <si>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</si>
  <si>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</si>
  <si>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</si>
  <si>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</si>
  <si>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</si>
  <si>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</si>
  <si>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</si>
  <si>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</si>
  <si>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</si>
  <si>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</si>
  <si>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</si>
  <si>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</si>
  <si>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</si>
  <si>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</si>
  <si>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</si>
  <si>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</si>
  <si>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</si>
  <si>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</si>
  <si>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</si>
  <si>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</si>
  <si>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</si>
  <si>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</si>
  <si>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</si>
  <si>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</si>
  <si>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</si>
  <si>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</si>
  <si>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</si>
  <si>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</si>
  <si>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</si>
  <si>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</si>
  <si>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</si>
  <si>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</si>
  <si>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</si>
  <si>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</si>
  <si>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</si>
  <si>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</si>
  <si>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</si>
  <si>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</si>
  <si>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</si>
  <si>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</si>
  <si>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</si>
  <si>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</si>
  <si>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</si>
  <si>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</si>
  <si>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</si>
  <si>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</si>
  <si>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</si>
  <si>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</si>
  <si>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</si>
  <si>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</si>
  <si>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</si>
  <si>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</si>
  <si>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</si>
  <si>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</si>
  <si>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</si>
  <si>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</si>
  <si>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</si>
  <si>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</si>
  <si>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</si>
  <si>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</si>
  <si>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</si>
  <si>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</si>
  <si>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</si>
  <si>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</si>
  <si>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</si>
  <si>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</si>
  <si>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</si>
  <si>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</si>
  <si>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</si>
  <si>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</si>
  <si>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</si>
  <si>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</si>
  <si>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</si>
  <si>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</si>
  <si>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</si>
  <si>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</si>
  <si>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</si>
  <si>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</si>
  <si>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</si>
  <si>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</si>
  <si>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</si>
  <si>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</si>
  <si>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</si>
  <si>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</si>
  <si>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</si>
  <si>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</si>
  <si>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</si>
  <si>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</si>
  <si>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</si>
  <si>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</si>
  <si>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</si>
  <si>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</si>
  <si>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</si>
  <si>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</si>
  <si>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</si>
  <si>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</si>
  <si>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</si>
  <si>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</si>
  <si>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</si>
  <si>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</si>
  <si>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</si>
  <si>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</si>
  <si>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</si>
  <si>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</si>
  <si>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</si>
  <si>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</si>
  <si>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</si>
  <si>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</si>
  <si>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</si>
  <si>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</si>
  <si>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</si>
  <si>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</si>
  <si>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</si>
  <si>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</si>
  <si>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</si>
  <si>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</si>
  <si>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</si>
  <si>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</si>
  <si>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</si>
  <si>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</si>
  <si>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</si>
  <si>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</si>
  <si>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</si>
  <si>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</si>
  <si>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</si>
  <si>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</si>
  <si>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</si>
  <si>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</si>
  <si>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</si>
  <si>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</si>
  <si>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</si>
  <si>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</si>
  <si>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</si>
  <si>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</si>
  <si>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</si>
  <si>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</si>
  <si>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</si>
  <si>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</si>
  <si>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</si>
  <si>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</si>
  <si>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</si>
  <si>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</si>
  <si>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</si>
  <si>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</si>
  <si>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</si>
  <si>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</si>
  <si>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</si>
  <si>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</si>
  <si>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</si>
  <si>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</si>
  <si>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</si>
  <si>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</si>
  <si>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</si>
  <si>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</si>
  <si>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</si>
  <si>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</si>
  <si>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</si>
  <si>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</si>
  <si>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</si>
  <si>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</si>
  <si>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</si>
  <si>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</si>
  <si>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</si>
  <si>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</si>
  <si>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</si>
  <si>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</si>
  <si>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</si>
  <si>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</si>
  <si>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</si>
  <si>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</si>
  <si>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</si>
  <si>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</si>
  <si>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</si>
  <si>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</si>
  <si>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</si>
  <si>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</si>
  <si>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</si>
  <si>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</si>
  <si>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</si>
  <si>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</si>
  <si>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</si>
  <si>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</si>
  <si>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</si>
  <si>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</si>
  <si>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</si>
  <si>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</si>
  <si>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</si>
  <si>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</si>
  <si>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</si>
  <si>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</si>
  <si>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</si>
  <si>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</si>
  <si>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</si>
  <si>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</si>
  <si>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</si>
  <si>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</si>
  <si>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</si>
  <si>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</si>
  <si>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</si>
  <si>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</si>
  <si>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</si>
  <si>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</si>
  <si>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</si>
  <si>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</si>
  <si>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</si>
  <si>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</si>
  <si>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</si>
  <si>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</si>
  <si>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</si>
  <si>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</si>
  <si>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</si>
  <si>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</si>
  <si>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</si>
  <si>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</si>
  <si>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</si>
  <si>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</si>
  <si>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</si>
  <si>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</si>
  <si>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</si>
  <si>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</si>
  <si>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</si>
  <si>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</si>
  <si>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</si>
  <si>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</si>
  <si>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</si>
  <si>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</si>
  <si>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</si>
  <si>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</si>
  <si>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</si>
  <si>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</si>
  <si>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</si>
  <si>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</si>
  <si>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</si>
  <si>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</si>
  <si>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</si>
  <si>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</si>
  <si>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</si>
  <si>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</si>
  <si>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</si>
  <si>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</si>
  <si>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</si>
  <si>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</si>
  <si>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</si>
  <si>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</si>
  <si>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</si>
  <si>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</si>
  <si>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</si>
  <si>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</si>
  <si>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</si>
  <si>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</si>
  <si>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</si>
  <si>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</si>
  <si>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</si>
  <si>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</si>
  <si>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</si>
  <si>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</si>
  <si>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</si>
  <si>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</si>
  <si>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</si>
  <si>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</si>
  <si>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</si>
  <si>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</si>
  <si>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</si>
  <si>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</si>
  <si>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</si>
  <si>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</si>
  <si>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</si>
  <si>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</si>
  <si>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</si>
  <si>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</si>
  <si>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</si>
  <si>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</si>
  <si>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</si>
  <si>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</si>
  <si>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</si>
  <si>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</si>
  <si>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</si>
  <si>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</si>
  <si>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</si>
  <si>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</si>
  <si>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</si>
  <si>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</si>
  <si>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</si>
  <si>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</si>
  <si>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</si>
  <si>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</si>
  <si>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</si>
  <si>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</si>
  <si>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</si>
  <si>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</si>
  <si>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</si>
  <si>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</si>
  <si>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</si>
  <si>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</si>
  <si>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</si>
  <si>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</si>
  <si>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</si>
  <si>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</si>
  <si>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</si>
  <si>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</si>
  <si>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</si>
  <si>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</si>
  <si>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</si>
  <si>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</si>
  <si>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</si>
  <si>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</si>
  <si>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</si>
  <si>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</si>
  <si>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</si>
  <si>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</si>
  <si>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</si>
  <si>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</si>
  <si>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</si>
  <si>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</si>
  <si>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</si>
  <si>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</si>
  <si>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</si>
  <si>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</si>
  <si>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</si>
  <si>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</si>
  <si>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</si>
  <si>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</si>
  <si>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</si>
  <si>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</si>
  <si>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</si>
  <si>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</si>
  <si>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</si>
  <si>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</si>
  <si>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</si>
  <si>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</si>
  <si>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</si>
  <si>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</si>
  <si>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</si>
  <si>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</si>
  <si>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</si>
  <si>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</si>
  <si>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</si>
  <si>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</si>
  <si>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</si>
  <si>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</si>
  <si>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</si>
  <si>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</si>
  <si>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</si>
  <si>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</si>
  <si>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</si>
  <si>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</si>
  <si>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</si>
  <si>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</si>
  <si>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</si>
  <si>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</si>
  <si>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</si>
  <si>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</si>
  <si>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</si>
  <si>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</si>
  <si>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</si>
  <si>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</si>
  <si>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</si>
  <si>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</si>
  <si>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</si>
  <si>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</si>
  <si>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</si>
  <si>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</si>
  <si>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</si>
  <si>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</si>
  <si>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</si>
  <si>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</si>
  <si>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</si>
  <si>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</si>
  <si>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</si>
  <si>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</si>
  <si>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</si>
  <si>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</si>
  <si>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</si>
  <si>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</si>
  <si>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</si>
  <si>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</si>
  <si>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</si>
  <si>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</si>
  <si>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</si>
  <si>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</si>
  <si>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</si>
  <si>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</si>
  <si>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</si>
  <si>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</si>
  <si>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</si>
  <si>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</si>
  <si>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</si>
  <si>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</si>
  <si>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</si>
  <si>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</si>
  <si>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</si>
  <si>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</si>
  <si>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</si>
  <si>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</si>
  <si>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</si>
  <si>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</si>
  <si>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</si>
  <si>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</si>
  <si>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</si>
  <si>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</si>
  <si>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</si>
  <si>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</si>
  <si>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</si>
  <si>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</si>
  <si>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</si>
  <si>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</si>
  <si>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</si>
  <si>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</si>
  <si>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</si>
  <si>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</si>
  <si>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</si>
  <si>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</si>
  <si>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</si>
  <si>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</si>
  <si>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</si>
  <si>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</si>
  <si>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</si>
  <si>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</si>
  <si>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</si>
  <si>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</si>
  <si>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</si>
  <si>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</si>
  <si>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</si>
  <si>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</si>
  <si>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</si>
  <si>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</si>
  <si>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</si>
  <si>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</si>
  <si>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</si>
  <si>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</si>
  <si>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</si>
  <si>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</si>
  <si>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</si>
  <si>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</si>
  <si>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</si>
  <si>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</si>
  <si>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</si>
  <si>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</si>
  <si>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</si>
  <si>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</si>
  <si>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</si>
  <si>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</si>
  <si>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</si>
  <si>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</si>
  <si>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</si>
  <si>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</si>
  <si>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</si>
  <si>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</si>
  <si>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</si>
  <si>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</si>
  <si>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</si>
  <si>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</si>
  <si>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</si>
  <si>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</si>
  <si>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</si>
  <si>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</si>
  <si>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</si>
  <si>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</si>
  <si>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</si>
  <si>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</si>
  <si>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</si>
  <si>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</si>
  <si>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</si>
  <si>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</si>
  <si>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</si>
  <si>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</si>
  <si>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</si>
  <si>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</si>
  <si>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</si>
  <si>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</si>
  <si>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</si>
  <si>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</si>
  <si>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</si>
  <si>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</si>
  <si>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</si>
  <si>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</si>
  <si>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</si>
  <si>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</si>
  <si>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</si>
  <si>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</si>
  <si>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</si>
  <si>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</si>
  <si>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</si>
  <si>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</si>
  <si>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</si>
  <si>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</si>
  <si>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</si>
  <si>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</si>
  <si>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</si>
  <si>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</si>
  <si>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</si>
  <si>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</si>
  <si>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</si>
  <si>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</si>
  <si>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</si>
  <si>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</si>
  <si>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</si>
  <si>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</si>
  <si>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</si>
  <si>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</si>
  <si>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</si>
  <si>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</si>
  <si>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</si>
  <si>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</si>
  <si>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</si>
  <si>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</si>
  <si>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</si>
  <si>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</si>
  <si>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</si>
  <si>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</si>
  <si>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</si>
  <si>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</si>
  <si>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</si>
  <si>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</si>
  <si>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</si>
  <si>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</si>
  <si>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</si>
  <si>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</si>
  <si>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</si>
  <si>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</si>
  <si>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</si>
  <si>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</si>
  <si>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</si>
  <si>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</si>
  <si>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</si>
  <si>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</si>
  <si>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</si>
  <si>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</si>
  <si>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</si>
  <si>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</si>
  <si>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</si>
  <si>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</si>
  <si>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</si>
  <si>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</si>
  <si>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</si>
  <si>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</si>
  <si>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</si>
  <si>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</si>
  <si>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</si>
  <si>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</si>
  <si>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</si>
  <si>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</si>
  <si>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</si>
  <si>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</si>
  <si>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</si>
  <si>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</si>
  <si>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</si>
  <si>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</si>
  <si>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</si>
  <si>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</si>
  <si>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</si>
  <si>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</si>
  <si>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</si>
  <si>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</si>
  <si>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</si>
  <si>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</si>
  <si>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</si>
  <si>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</si>
  <si>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</si>
  <si>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</si>
  <si>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</si>
  <si>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</si>
  <si>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</si>
  <si>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</si>
  <si>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</si>
  <si>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</si>
  <si>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</si>
  <si>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</si>
  <si>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</si>
  <si>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</si>
  <si>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</si>
  <si>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</si>
  <si>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</si>
  <si>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</si>
  <si>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</si>
  <si>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</si>
  <si>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</si>
  <si>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</si>
  <si>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</si>
  <si>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</si>
  <si>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</si>
  <si>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</si>
  <si>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</si>
  <si>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</si>
  <si>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</si>
  <si>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</si>
  <si>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</si>
  <si>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</si>
  <si>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</si>
  <si>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</si>
  <si>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</si>
  <si>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</si>
  <si>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</si>
  <si>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</si>
  <si>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</si>
  <si>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</si>
  <si>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</si>
  <si>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</si>
  <si>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</si>
  <si>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</si>
  <si>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</si>
  <si>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</si>
  <si>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</si>
  <si>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</si>
  <si>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</si>
  <si>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</si>
  <si>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</si>
  <si>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</si>
  <si>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</si>
  <si>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</si>
  <si>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</si>
  <si>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</si>
  <si>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</si>
  <si>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</si>
  <si>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</si>
  <si>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</si>
  <si>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</si>
  <si>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</si>
  <si>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</si>
  <si>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</si>
  <si>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</si>
  <si>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</si>
  <si>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</si>
  <si>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</si>
  <si>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</si>
  <si>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</si>
  <si>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</si>
  <si>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</si>
  <si>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</si>
  <si>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</si>
  <si>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</si>
  <si>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</si>
  <si>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</si>
  <si>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</si>
  <si>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</si>
  <si>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</si>
  <si>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</si>
  <si>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</si>
  <si>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</si>
  <si>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</si>
  <si>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</si>
  <si>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</si>
  <si>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</si>
  <si>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</si>
  <si>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</si>
  <si>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</si>
  <si>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</si>
  <si>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</si>
  <si>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</si>
  <si>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</si>
  <si>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</si>
  <si>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</si>
  <si>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</si>
  <si>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</si>
  <si>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</si>
  <si>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</si>
  <si>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</si>
  <si>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</si>
  <si>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</si>
  <si>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</si>
  <si>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</si>
  <si>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</si>
  <si>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</si>
  <si>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</si>
  <si>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</si>
  <si>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</si>
  <si>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</si>
  <si>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</si>
  <si>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</si>
  <si>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</si>
  <si>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</si>
  <si>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</si>
  <si>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</si>
  <si>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</si>
  <si>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</si>
  <si>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</si>
  <si>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</si>
  <si>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</si>
  <si>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</si>
  <si>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</si>
  <si>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</si>
  <si>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</si>
  <si>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</si>
  <si>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</si>
  <si>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</si>
  <si>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</si>
  <si>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</si>
  <si>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</si>
  <si>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</si>
  <si>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</si>
  <si>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</si>
  <si>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</si>
  <si>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</si>
  <si>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</si>
  <si>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</si>
  <si>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</si>
  <si>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</si>
  <si>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</si>
  <si>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</si>
  <si>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</si>
  <si>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</si>
  <si>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</si>
  <si>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</si>
  <si>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</si>
  <si>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</si>
  <si>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</si>
  <si>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</si>
  <si>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</si>
  <si>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</si>
  <si>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</si>
  <si>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</si>
  <si>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</si>
  <si>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</si>
  <si>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</si>
  <si>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</si>
  <si>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</si>
  <si>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</si>
  <si>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</si>
  <si>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</si>
  <si>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</si>
  <si>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</si>
  <si>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</si>
  <si>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</si>
  <si>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</si>
  <si>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</si>
  <si>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</si>
  <si>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</si>
  <si>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</si>
  <si>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</si>
  <si>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</si>
  <si>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</si>
  <si>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</si>
  <si>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</si>
  <si>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</si>
  <si>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</si>
  <si>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</si>
  <si>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</si>
  <si>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</si>
  <si>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</si>
  <si>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</si>
  <si>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</si>
  <si>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</si>
  <si>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</si>
  <si>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</si>
  <si>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</si>
  <si>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</si>
  <si>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</si>
  <si>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</si>
  <si>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</si>
  <si>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</si>
  <si>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</si>
  <si>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</si>
  <si>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</si>
  <si>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</si>
  <si>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</si>
  <si>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</si>
  <si>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</si>
  <si>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</si>
  <si>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</si>
  <si>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</si>
  <si>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</si>
  <si>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</si>
  <si>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</si>
  <si>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</si>
  <si>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</si>
  <si>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</si>
  <si>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</si>
  <si>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</si>
  <si>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</si>
  <si>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</si>
  <si>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</si>
  <si>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</si>
  <si>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</si>
  <si>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</si>
  <si>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</si>
  <si>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</si>
  <si>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</si>
  <si>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</si>
  <si>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</si>
  <si>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</si>
  <si>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</si>
  <si>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</si>
  <si>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</si>
  <si>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</si>
  <si>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</si>
  <si>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</si>
  <si>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</si>
  <si>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</si>
  <si>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</si>
  <si>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</si>
  <si>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</si>
  <si>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</si>
  <si>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</si>
  <si>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</si>
  <si>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</si>
  <si>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</si>
  <si>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</si>
  <si>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</si>
  <si>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</si>
  <si>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</si>
  <si>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</si>
  <si>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</si>
  <si>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</si>
  <si>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</si>
  <si>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</si>
  <si>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</si>
  <si>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</si>
  <si>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</si>
  <si>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</si>
  <si>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</si>
  <si>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</si>
  <si>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</si>
  <si>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</si>
  <si>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</si>
  <si>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</si>
  <si>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</si>
  <si>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</si>
  <si>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</si>
  <si>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</si>
  <si>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</si>
  <si>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</si>
  <si>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</si>
  <si>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</si>
  <si>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</si>
  <si>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</si>
  <si>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</si>
  <si>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</si>
  <si>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</si>
  <si>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</si>
  <si>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</si>
  <si>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</si>
  <si>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</si>
  <si>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</si>
  <si>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</si>
  <si>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</si>
  <si>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</si>
  <si>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</si>
  <si>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</si>
  <si>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</si>
  <si>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</si>
  <si>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</si>
  <si>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</si>
  <si>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</si>
  <si>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</si>
  <si>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</si>
  <si>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</si>
  <si>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</si>
  <si>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</si>
  <si>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</si>
  <si>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</si>
  <si>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</si>
  <si>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</si>
  <si>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</si>
  <si>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</si>
  <si>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</si>
  <si>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</si>
  <si>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</si>
  <si>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</si>
  <si>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</si>
  <si>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</si>
  <si>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</si>
  <si>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</si>
  <si>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</si>
  <si>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</si>
  <si>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</si>
  <si>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</si>
  <si>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</si>
  <si>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</si>
  <si>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</si>
  <si>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</si>
  <si>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</si>
  <si>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</si>
  <si>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</si>
  <si>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</si>
  <si>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</si>
  <si>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</si>
  <si>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</si>
  <si>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</si>
  <si>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</si>
  <si>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</si>
  <si>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</si>
  <si>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</si>
  <si>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</si>
  <si>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</si>
  <si>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</si>
  <si>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</si>
  <si>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</si>
  <si>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</si>
  <si>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</si>
  <si>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</si>
  <si>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</si>
  <si>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</si>
  <si>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</si>
  <si>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</si>
  <si>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</si>
  <si>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</si>
  <si>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</si>
  <si>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</si>
  <si>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</si>
  <si>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</si>
  <si>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</si>
  <si>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</si>
  <si>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</si>
  <si>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</si>
  <si>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G0202</t>
  </si>
  <si>
    <t>SALAIRE PROP USAGE</t>
  </si>
  <si>
    <t>G0204</t>
  </si>
  <si>
    <t>SALAIRE PROP SERVICE</t>
  </si>
  <si>
    <t>G0205</t>
  </si>
  <si>
    <t>SALAIRE PROP CARROSSERIE</t>
  </si>
  <si>
    <t>G0206</t>
  </si>
  <si>
    <t>SALAIRE PROP. PIECES</t>
  </si>
  <si>
    <t>G0210</t>
  </si>
  <si>
    <t>SALAIRE ADMIN. TOUS</t>
  </si>
  <si>
    <t>G0211</t>
  </si>
  <si>
    <t>SALAIRES CADRES NEUFS</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</si>
  <si>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</si>
  <si>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</si>
  <si>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</si>
  <si>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</si>
  <si>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</si>
  <si>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</si>
  <si>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</si>
  <si>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</si>
  <si>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</si>
  <si>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</si>
  <si>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</si>
  <si>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</si>
  <si>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</si>
  <si>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</si>
  <si>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</si>
  <si>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</si>
  <si>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</si>
  <si>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</si>
  <si>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</si>
  <si>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</si>
  <si>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</si>
  <si>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</si>
  <si>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</si>
  <si>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</si>
  <si>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</si>
  <si>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</si>
  <si>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</si>
  <si>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</si>
  <si>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</si>
  <si>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</si>
  <si>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</si>
  <si>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</si>
  <si>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</si>
  <si>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</si>
  <si>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</si>
  <si>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</si>
  <si>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</si>
  <si>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</si>
  <si>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</si>
  <si>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</si>
  <si>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</si>
  <si>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</si>
  <si>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</si>
  <si>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</si>
  <si>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</si>
  <si>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</si>
  <si>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</si>
  <si>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</si>
  <si>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</si>
  <si>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</si>
  <si>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</si>
  <si>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</si>
  <si>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</si>
  <si>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</si>
  <si>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</si>
  <si>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</si>
  <si>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</si>
  <si>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</si>
  <si>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</si>
  <si>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</si>
  <si>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</si>
  <si>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</si>
  <si>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</si>
  <si>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</si>
  <si>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</si>
  <si>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</si>
  <si>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</si>
  <si>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</si>
  <si>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</si>
  <si>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</si>
  <si>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</si>
  <si>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</si>
  <si>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</si>
  <si>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</si>
  <si>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</si>
  <si>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</si>
  <si>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</si>
  <si>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</si>
  <si>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</si>
  <si>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</si>
  <si>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</si>
  <si>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</si>
  <si>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</si>
  <si>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</si>
  <si>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</si>
  <si>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</si>
  <si>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</si>
  <si>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</si>
  <si>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</si>
  <si>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</si>
  <si>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</si>
  <si>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</si>
  <si>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</si>
  <si>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</si>
  <si>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</si>
  <si>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</si>
  <si>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</si>
  <si>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</si>
  <si>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</si>
  <si>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</si>
  <si>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</si>
  <si>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</si>
  <si>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</si>
  <si>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</si>
  <si>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</si>
  <si>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</si>
  <si>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</si>
  <si>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</si>
  <si>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</si>
  <si>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</si>
  <si>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</si>
  <si>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</si>
  <si>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</si>
  <si>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</si>
  <si>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</si>
  <si>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</si>
  <si>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</si>
  <si>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</si>
  <si>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</si>
  <si>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</si>
  <si>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</si>
  <si>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</si>
  <si>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</si>
  <si>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</si>
  <si>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</si>
  <si>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</si>
  <si>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</si>
  <si>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</si>
  <si>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</si>
  <si>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</si>
  <si>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</si>
  <si>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</si>
  <si>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</si>
  <si>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</si>
  <si>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</si>
  <si>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</si>
  <si>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</si>
  <si>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</si>
  <si>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</si>
  <si>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</si>
  <si>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</si>
  <si>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</si>
  <si>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</si>
  <si>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</si>
  <si>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</si>
  <si>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</si>
  <si>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</si>
  <si>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</si>
  <si>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</si>
  <si>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</si>
  <si>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</si>
  <si>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</si>
  <si>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</si>
  <si>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</si>
  <si>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</si>
  <si>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</si>
  <si>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</si>
  <si>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</si>
  <si>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</si>
  <si>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</si>
  <si>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</si>
  <si>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</si>
  <si>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</si>
  <si>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</si>
  <si>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</si>
  <si>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</si>
  <si>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</si>
  <si>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</si>
  <si>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</si>
  <si>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</si>
  <si>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</si>
  <si>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</si>
  <si>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</si>
  <si>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</si>
  <si>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</si>
  <si>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</si>
  <si>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</si>
  <si>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</si>
  <si>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</si>
  <si>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</si>
  <si>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</si>
  <si>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</si>
  <si>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</si>
  <si>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</si>
  <si>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</si>
  <si>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</si>
  <si>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</si>
  <si>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</si>
  <si>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</si>
  <si>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</si>
  <si>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</si>
  <si>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</si>
  <si>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</si>
  <si>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</si>
  <si>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</si>
  <si>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</si>
  <si>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</si>
  <si>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</si>
  <si>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</si>
  <si>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</si>
  <si>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</si>
  <si>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</si>
  <si>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</si>
  <si>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</si>
  <si>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</si>
  <si>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</si>
  <si>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</si>
  <si>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</si>
  <si>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</si>
  <si>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</si>
  <si>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</si>
  <si>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</si>
  <si>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</si>
  <si>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</si>
  <si>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</si>
  <si>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</si>
  <si>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</si>
  <si>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</si>
  <si>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</si>
  <si>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</si>
  <si>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</si>
  <si>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</si>
  <si>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</si>
  <si>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</si>
  <si>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</si>
  <si>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</si>
  <si>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</si>
  <si>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</si>
  <si>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</si>
  <si>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</si>
  <si>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</si>
  <si>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</si>
  <si>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</si>
  <si>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</si>
  <si>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</si>
  <si>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</si>
  <si>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</si>
  <si>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</si>
  <si>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</si>
  <si>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</si>
  <si>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</si>
  <si>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</si>
  <si>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</si>
  <si>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</si>
  <si>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</si>
  <si>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</si>
  <si>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</si>
  <si>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</si>
  <si>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</si>
  <si>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</si>
  <si>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</si>
  <si>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</si>
  <si>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</si>
  <si>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</si>
  <si>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</si>
  <si>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</si>
  <si>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</si>
  <si>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</si>
  <si>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</si>
  <si>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</si>
  <si>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</si>
  <si>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</si>
  <si>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</si>
  <si>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</si>
  <si>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</si>
  <si>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</si>
  <si>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</si>
  <si>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</si>
  <si>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</si>
  <si>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</si>
  <si>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</si>
  <si>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</si>
  <si>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</si>
  <si>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</si>
  <si>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</si>
  <si>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</si>
  <si>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</si>
  <si>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</si>
  <si>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</si>
  <si>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</si>
  <si>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</si>
  <si>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</si>
  <si>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</si>
  <si>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</si>
  <si>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</si>
  <si>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</si>
  <si>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</si>
  <si>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</si>
  <si>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</si>
  <si>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</si>
  <si>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</si>
  <si>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</si>
  <si>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</si>
  <si>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</si>
  <si>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</si>
  <si>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</si>
  <si>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</si>
  <si>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</si>
  <si>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</si>
  <si>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</si>
  <si>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</si>
  <si>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</si>
  <si>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</si>
  <si>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</si>
  <si>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</si>
  <si>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</si>
  <si>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</si>
  <si>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</si>
  <si>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</si>
  <si>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</si>
  <si>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</si>
  <si>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</si>
  <si>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</si>
  <si>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</si>
  <si>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</si>
  <si>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</si>
  <si>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</si>
  <si>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</si>
  <si>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</si>
  <si>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</si>
  <si>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</si>
  <si>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</si>
  <si>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</si>
  <si>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</si>
  <si>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</si>
  <si>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</si>
  <si>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</si>
  <si>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</si>
  <si>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</si>
  <si>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</si>
  <si>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</si>
  <si>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</si>
  <si>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</si>
  <si>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</si>
  <si>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</si>
  <si>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</si>
  <si>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</si>
  <si>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</si>
  <si>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</si>
  <si>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</si>
  <si>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</si>
  <si>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</si>
  <si>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</si>
  <si>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</si>
  <si>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</si>
  <si>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</si>
  <si>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</si>
  <si>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</si>
  <si>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</si>
  <si>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</si>
  <si>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</si>
  <si>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</si>
  <si>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</si>
  <si>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</si>
  <si>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</si>
  <si>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</si>
  <si>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</si>
  <si>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</si>
  <si>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</si>
  <si>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</si>
  <si>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</si>
  <si>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</si>
  <si>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</si>
  <si>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</si>
  <si>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</si>
  <si>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</si>
  <si>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</si>
  <si>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</si>
  <si>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</si>
  <si>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</si>
  <si>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</si>
  <si>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</si>
  <si>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</si>
  <si>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</si>
  <si>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</si>
  <si>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</si>
  <si>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</si>
  <si>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</si>
  <si>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</si>
  <si>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</si>
  <si>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</si>
  <si>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</si>
  <si>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</si>
  <si>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</si>
  <si>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</si>
  <si>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</si>
  <si>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</si>
  <si>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</si>
  <si>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</si>
  <si>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</si>
  <si>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</si>
  <si>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</si>
  <si>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</si>
  <si>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</si>
  <si>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</si>
  <si>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</si>
  <si>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</si>
  <si>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</si>
  <si>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</si>
  <si>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</si>
  <si>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</si>
  <si>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</si>
  <si>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</si>
  <si>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</si>
  <si>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</si>
  <si>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</si>
  <si>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</si>
  <si>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</si>
  <si>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</si>
  <si>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</si>
  <si>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</si>
  <si>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</si>
  <si>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</si>
  <si>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</si>
  <si>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</si>
  <si>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</si>
  <si>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</si>
  <si>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</si>
  <si>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</si>
  <si>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</si>
  <si>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</si>
  <si>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</si>
  <si>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</si>
  <si>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</si>
  <si>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</si>
  <si>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</si>
  <si>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</si>
  <si>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</si>
  <si>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</si>
  <si>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</si>
  <si>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</si>
  <si>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</si>
  <si>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</si>
  <si>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</si>
  <si>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</si>
  <si>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</si>
  <si>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</si>
  <si>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</si>
  <si>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</si>
  <si>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</si>
  <si>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</si>
  <si>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</si>
  <si>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</si>
  <si>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</si>
  <si>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</si>
  <si>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</si>
  <si>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</si>
  <si>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</si>
  <si>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</si>
  <si>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</si>
  <si>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</si>
  <si>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</si>
  <si>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</si>
  <si>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</si>
  <si>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</si>
  <si>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</si>
  <si>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</si>
  <si>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</si>
  <si>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</si>
  <si>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</si>
  <si>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</si>
  <si>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</si>
  <si>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</si>
  <si>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</si>
  <si>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</si>
  <si>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</si>
  <si>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</si>
  <si>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</si>
  <si>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</si>
  <si>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</si>
  <si>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</si>
  <si>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</si>
  <si>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</si>
  <si>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</si>
  <si>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</si>
  <si>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</si>
  <si>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</si>
  <si>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</si>
  <si>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</si>
  <si>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</si>
  <si>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</si>
  <si>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</si>
  <si>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</si>
  <si>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</si>
  <si>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</si>
  <si>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</si>
  <si>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</si>
  <si>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</si>
  <si>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</si>
  <si>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</si>
  <si>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</si>
  <si>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</si>
  <si>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</si>
  <si>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</si>
  <si>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</si>
  <si>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</si>
  <si>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</si>
  <si>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</si>
  <si>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</si>
  <si>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</si>
  <si>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</si>
  <si>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</si>
  <si>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</si>
  <si>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</si>
  <si>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</si>
  <si>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</si>
  <si>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</si>
  <si>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</si>
  <si>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</si>
  <si>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</si>
  <si>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</si>
  <si>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</si>
  <si>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</si>
  <si>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</si>
  <si>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</si>
  <si>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</si>
  <si>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</si>
  <si>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</si>
  <si>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</si>
  <si>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</si>
  <si>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</si>
  <si>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</si>
  <si>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</si>
  <si>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</si>
  <si>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</si>
  <si>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</si>
  <si>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</si>
  <si>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</si>
  <si>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</si>
  <si>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</si>
  <si>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</si>
  <si>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</si>
  <si>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</si>
  <si>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</si>
  <si>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</si>
  <si>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</si>
  <si>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</si>
  <si>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</si>
  <si>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</si>
  <si>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</si>
  <si>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</si>
  <si>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</si>
  <si>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</si>
  <si>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</si>
  <si>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</si>
  <si>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</si>
  <si>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</si>
  <si>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</si>
  <si>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</si>
  <si>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</si>
  <si>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</si>
  <si>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</si>
  <si>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</si>
  <si>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</si>
  <si>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</si>
  <si>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</si>
  <si>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</si>
  <si>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</si>
  <si>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</si>
  <si>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</si>
  <si>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</si>
  <si>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</si>
  <si>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</si>
  <si>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</si>
  <si>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</si>
  <si>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</si>
  <si>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</si>
  <si>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</si>
  <si>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</si>
  <si>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</si>
  <si>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</si>
  <si>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</si>
  <si>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</si>
  <si>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</si>
  <si>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</si>
  <si>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</si>
  <si>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</si>
  <si>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</si>
  <si>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</si>
  <si>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</si>
  <si>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</si>
  <si>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</si>
  <si>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</si>
  <si>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</si>
  <si>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</si>
  <si>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</si>
  <si>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</si>
  <si>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</si>
  <si>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</si>
  <si>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</si>
  <si>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</si>
  <si>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</si>
  <si>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</si>
  <si>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</si>
  <si>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</si>
  <si>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</si>
  <si>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</si>
  <si>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</si>
  <si>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</si>
  <si>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</si>
  <si>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</si>
  <si>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</si>
  <si>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</si>
  <si>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</si>
  <si>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</si>
  <si>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</si>
  <si>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</si>
  <si>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</si>
  <si>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</si>
  <si>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</si>
  <si>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</si>
  <si>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</si>
  <si>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</si>
  <si>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</si>
  <si>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</si>
  <si>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</si>
  <si>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</si>
  <si>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</si>
  <si>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</si>
  <si>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</si>
  <si>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</si>
  <si>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</si>
  <si>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</si>
  <si>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</si>
  <si>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</si>
  <si>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</si>
  <si>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</si>
  <si>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</si>
  <si>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</si>
  <si>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</si>
  <si>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</si>
  <si>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</si>
  <si>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</si>
  <si>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</si>
  <si>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</si>
  <si>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</si>
  <si>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</si>
  <si>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</si>
  <si>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</si>
  <si>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</si>
  <si>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</si>
  <si>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</si>
  <si>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</si>
  <si>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</si>
  <si>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</si>
  <si>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</si>
  <si>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</si>
  <si>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</si>
  <si>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</si>
  <si>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</si>
  <si>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</si>
  <si>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</si>
  <si>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</si>
  <si>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</si>
  <si>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</si>
  <si>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</si>
  <si>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</si>
  <si>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</si>
  <si>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</si>
  <si>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</si>
  <si>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</si>
  <si>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</si>
  <si>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</si>
  <si>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</si>
  <si>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</si>
  <si>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</si>
  <si>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</si>
  <si>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</si>
  <si>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</si>
  <si>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</si>
  <si>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</si>
  <si>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</si>
  <si>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</si>
  <si>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</si>
  <si>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</si>
  <si>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</si>
  <si>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</si>
  <si>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</si>
  <si>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</si>
  <si>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</si>
  <si>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</si>
  <si>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</si>
  <si>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</si>
  <si>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</si>
  <si>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</si>
  <si>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</si>
  <si>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</si>
  <si>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</si>
  <si>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</si>
  <si>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</si>
  <si>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</si>
  <si>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</si>
  <si>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</si>
  <si>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</si>
  <si>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</si>
  <si>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</si>
  <si>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</si>
  <si>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</si>
  <si>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</si>
  <si>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</si>
  <si>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</si>
  <si>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</si>
  <si>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</si>
  <si>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</si>
  <si>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</si>
  <si>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</si>
  <si>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</si>
  <si>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</si>
  <si>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</si>
  <si>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</si>
  <si>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</si>
  <si>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</si>
  <si>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</si>
  <si>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</si>
  <si>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</si>
  <si>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</si>
  <si>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</si>
  <si>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</si>
  <si>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</si>
  <si>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</si>
  <si>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</si>
  <si>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</si>
  <si>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</si>
  <si>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</si>
  <si>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</si>
  <si>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</si>
  <si>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</si>
  <si>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</si>
  <si>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</si>
  <si>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</si>
  <si>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</si>
  <si>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</si>
  <si>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</si>
  <si>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</si>
  <si>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</si>
  <si>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</si>
  <si>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</si>
  <si>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</si>
  <si>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</si>
  <si>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</si>
  <si>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</si>
  <si>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</si>
  <si>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</si>
  <si>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</si>
  <si>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</si>
  <si>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</si>
  <si>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</si>
  <si>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</si>
  <si>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</si>
  <si>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</si>
  <si>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</si>
  <si>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</si>
  <si>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</si>
  <si>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</si>
  <si>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</si>
  <si>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</si>
  <si>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</si>
  <si>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</si>
  <si>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</si>
  <si>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</si>
  <si>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</si>
  <si>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</si>
  <si>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</si>
  <si>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</si>
  <si>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</si>
  <si>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</si>
  <si>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</si>
  <si>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</si>
  <si>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</si>
  <si>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</si>
  <si>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</si>
  <si>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</si>
  <si>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</si>
  <si>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</si>
  <si>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</si>
  <si>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</si>
  <si>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</si>
  <si>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</si>
  <si>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</si>
  <si>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</si>
  <si>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</si>
  <si>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</si>
  <si>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</si>
  <si>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</si>
  <si>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</si>
  <si>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</si>
  <si>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</si>
  <si>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</si>
  <si>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</si>
  <si>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</si>
  <si>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</si>
  <si>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</si>
  <si>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</si>
  <si>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</si>
  <si>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</si>
  <si>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</si>
  <si>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</si>
  <si>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</si>
  <si>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</si>
  <si>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</si>
  <si>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</si>
  <si>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</si>
  <si>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</si>
  <si>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</si>
  <si>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</si>
  <si>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</si>
  <si>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</si>
  <si>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</si>
  <si>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</si>
  <si>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</si>
  <si>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</si>
  <si>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</si>
  <si>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</si>
  <si>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</si>
  <si>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</si>
  <si>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</si>
  <si>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</si>
  <si>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</si>
  <si>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</si>
  <si>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</si>
  <si>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</si>
  <si>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</si>
  <si>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</si>
  <si>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</si>
  <si>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</si>
  <si>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</si>
  <si>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</si>
  <si>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</si>
  <si>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</si>
  <si>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</si>
  <si>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</si>
  <si>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</si>
  <si>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</si>
  <si>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</si>
  <si>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</si>
  <si>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</si>
  <si>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</si>
  <si>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</si>
  <si>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</si>
  <si>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</si>
  <si>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</si>
  <si>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</si>
  <si>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</si>
  <si>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</si>
  <si>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</si>
  <si>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</si>
  <si>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</si>
  <si>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</si>
  <si>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</si>
  <si>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</si>
  <si>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</si>
  <si>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</si>
  <si>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</si>
  <si>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</si>
  <si>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</si>
  <si>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</si>
  <si>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</si>
  <si>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</si>
  <si>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</si>
  <si>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</si>
  <si>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</si>
  <si>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</si>
  <si>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</si>
  <si>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</si>
  <si>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</si>
  <si>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</si>
  <si>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</si>
  <si>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</si>
  <si>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</si>
  <si>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</si>
  <si>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</si>
  <si>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</si>
  <si>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</si>
  <si>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</si>
  <si>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</si>
  <si>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</si>
  <si>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</si>
  <si>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</si>
  <si>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</si>
  <si>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</si>
  <si>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</si>
  <si>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</si>
  <si>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</si>
  <si>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</si>
  <si>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</si>
  <si>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</si>
  <si>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</si>
  <si>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</si>
  <si>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</si>
  <si>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</si>
  <si>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</si>
  <si>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</si>
  <si>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</si>
  <si>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</si>
  <si>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</si>
  <si>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</si>
  <si>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</si>
  <si>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</si>
  <si>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</si>
  <si>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</si>
  <si>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</si>
  <si>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</si>
  <si>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</si>
  <si>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</si>
  <si>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</si>
  <si>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</si>
  <si>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</si>
  <si>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</si>
  <si>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</si>
  <si>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</si>
  <si>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</si>
  <si>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</si>
  <si>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</si>
  <si>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</si>
  <si>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</si>
  <si>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</si>
  <si>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</si>
  <si>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</si>
  <si>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</si>
  <si>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</si>
  <si>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</si>
  <si>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</si>
  <si>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</si>
  <si>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</si>
  <si>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</si>
  <si>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</si>
  <si>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</si>
  <si>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</si>
  <si>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</si>
  <si>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</si>
  <si>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</si>
  <si>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</si>
  <si>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</si>
  <si>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</si>
  <si>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</si>
  <si>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</si>
  <si>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</si>
  <si>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</si>
  <si>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</si>
  <si>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</si>
  <si>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</si>
  <si>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</si>
  <si>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</si>
  <si>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</si>
  <si>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</si>
  <si>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</si>
  <si>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</si>
  <si>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</si>
  <si>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</si>
  <si>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</si>
  <si>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</si>
  <si>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</si>
  <si>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</si>
  <si>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</si>
  <si>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</si>
  <si>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</si>
  <si>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</si>
  <si>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</si>
  <si>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</si>
  <si>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</si>
  <si>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</si>
  <si>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</si>
  <si>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</si>
  <si>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</si>
  <si>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</si>
  <si>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</si>
  <si>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</si>
  <si>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</si>
  <si>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</si>
  <si>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</si>
  <si>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</si>
  <si>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</si>
  <si>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</si>
  <si>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</si>
  <si>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</si>
  <si>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</si>
  <si>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</si>
  <si>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</si>
  <si>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</si>
  <si>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</si>
  <si>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</si>
  <si>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</si>
  <si>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</si>
  <si>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</si>
  <si>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</si>
  <si>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</si>
  <si>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</si>
  <si>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</si>
  <si>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</si>
  <si>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</si>
  <si>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</si>
  <si>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</si>
  <si>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</si>
  <si>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</si>
  <si>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</si>
  <si>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</si>
  <si>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</si>
  <si>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</si>
  <si>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</si>
  <si>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</si>
  <si>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</si>
  <si>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</si>
  <si>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</si>
  <si>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</si>
  <si>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</si>
  <si>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</si>
  <si>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</si>
  <si>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</si>
  <si>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</si>
  <si>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</si>
  <si>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</si>
  <si>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</si>
  <si>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</si>
  <si>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</si>
  <si>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</si>
  <si>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</si>
  <si>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</si>
  <si>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</si>
  <si>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</si>
  <si>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</si>
  <si>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</si>
  <si>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</si>
  <si>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</si>
  <si>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</si>
  <si>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</si>
  <si>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</si>
  <si>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</si>
  <si>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</si>
  <si>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</si>
  <si>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</si>
  <si>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</si>
  <si>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</si>
  <si>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</si>
  <si>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</si>
  <si>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</si>
  <si>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</si>
  <si>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</si>
  <si>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</si>
  <si>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</si>
  <si>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</si>
  <si>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</si>
  <si>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</si>
  <si>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</si>
  <si>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</si>
  <si>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</si>
  <si>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</si>
  <si>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</si>
  <si>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</si>
  <si>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</si>
  <si>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</si>
  <si>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</si>
  <si>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</si>
  <si>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</si>
  <si>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</si>
  <si>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</si>
  <si>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</si>
  <si>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</si>
  <si>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</si>
  <si>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</si>
  <si>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</si>
  <si>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</si>
  <si>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</si>
  <si>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</si>
  <si>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</si>
  <si>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</si>
  <si>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</si>
  <si>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</si>
  <si>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</si>
  <si>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</si>
  <si>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</si>
  <si>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</si>
  <si>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</si>
  <si>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</si>
  <si>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</si>
  <si>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</si>
  <si>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</si>
  <si>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</si>
  <si>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</si>
  <si>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</si>
  <si>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</si>
  <si>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</si>
  <si>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</si>
  <si>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</si>
  <si>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</si>
  <si>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</si>
  <si>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</si>
  <si>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</si>
  <si>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</si>
  <si>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</si>
  <si>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</si>
  <si>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</si>
  <si>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</si>
  <si>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</si>
  <si>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</si>
  <si>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</si>
  <si>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</si>
  <si>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</si>
  <si>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</si>
  <si>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</si>
  <si>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</si>
  <si>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</si>
  <si>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</si>
  <si>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</si>
  <si>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</si>
  <si>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</si>
  <si>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</si>
  <si>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</si>
  <si>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</si>
  <si>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</si>
  <si>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</si>
  <si>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</si>
  <si>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</si>
  <si>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</si>
  <si>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</si>
  <si>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</si>
  <si>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</si>
  <si>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</si>
  <si>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</si>
  <si>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</si>
  <si>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</si>
  <si>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</si>
  <si>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</si>
  <si>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</si>
  <si>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</si>
  <si>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</si>
  <si>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</si>
  <si>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</si>
  <si>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</si>
  <si>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</si>
  <si>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</si>
  <si>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</si>
  <si>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</si>
  <si>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</si>
  <si>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</si>
  <si>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</si>
  <si>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</si>
  <si>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</si>
  <si>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</si>
  <si>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</si>
  <si>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</si>
  <si>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</si>
  <si>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</si>
  <si>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</si>
  <si>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</si>
  <si>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</si>
  <si>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</si>
  <si>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</si>
  <si>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</si>
  <si>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</si>
  <si>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</si>
  <si>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</si>
  <si>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</si>
  <si>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</si>
  <si>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</si>
  <si>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</si>
  <si>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</si>
  <si>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</si>
  <si>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</si>
  <si>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</si>
  <si>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</si>
  <si>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</si>
  <si>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</si>
  <si>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</si>
  <si>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</si>
  <si>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</si>
  <si>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</si>
  <si>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</si>
  <si>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</si>
  <si>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</si>
  <si>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</si>
  <si>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</si>
  <si>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</si>
  <si>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</si>
  <si>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</si>
  <si>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</si>
  <si>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</si>
  <si>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</si>
  <si>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</si>
  <si>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</si>
  <si>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</si>
  <si>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</si>
  <si>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</si>
  <si>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</si>
  <si>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</si>
  <si>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</si>
  <si>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</si>
  <si>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</si>
  <si>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</si>
  <si>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</si>
  <si>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</si>
  <si>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</si>
  <si>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</si>
  <si>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</si>
  <si>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</si>
  <si>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</si>
  <si>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</si>
  <si>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</si>
  <si>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</si>
  <si>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</si>
  <si>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</si>
  <si>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</si>
  <si>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</si>
  <si>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</si>
  <si>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</si>
  <si>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</si>
  <si>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</si>
  <si>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</si>
  <si>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</si>
  <si>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</si>
  <si>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</si>
  <si>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</si>
  <si>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</si>
  <si>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</si>
  <si>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</si>
  <si>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</si>
  <si>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</si>
  <si>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</si>
  <si>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</si>
  <si>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</si>
  <si>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</si>
  <si>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</si>
  <si>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</si>
  <si>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</si>
  <si>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</si>
  <si>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</si>
  <si>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</si>
  <si>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</si>
  <si>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</si>
  <si>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</si>
  <si>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</si>
  <si>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</si>
  <si>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</si>
  <si>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</si>
  <si>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</si>
  <si>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</si>
  <si>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</si>
  <si>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</si>
  <si>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</si>
  <si>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</si>
  <si>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</si>
  <si>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</si>
  <si>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</si>
  <si>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</si>
  <si>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</si>
  <si>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</si>
  <si>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</si>
  <si>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</si>
  <si>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</si>
  <si>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</si>
  <si>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</si>
  <si>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</si>
  <si>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</si>
  <si>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</si>
  <si>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</si>
  <si>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</si>
  <si>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</si>
  <si>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</si>
  <si>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</si>
  <si>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</si>
  <si>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</si>
  <si>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</si>
  <si>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</si>
  <si>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</si>
  <si>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</si>
  <si>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</si>
  <si>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</si>
  <si>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</si>
  <si>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</si>
  <si>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</si>
  <si>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</si>
  <si>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</si>
  <si>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</si>
  <si>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</si>
  <si>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</si>
  <si>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</si>
  <si>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</si>
  <si>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</si>
  <si>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</si>
  <si>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</si>
  <si>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</si>
  <si>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</si>
  <si>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</si>
  <si>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</si>
  <si>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</si>
  <si>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</si>
  <si>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</si>
  <si>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</si>
  <si>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</si>
  <si>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</si>
  <si>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</si>
  <si>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</si>
  <si>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</si>
  <si>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</si>
  <si>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</si>
  <si>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</si>
  <si>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</si>
  <si>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</si>
  <si>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</si>
  <si>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</si>
  <si>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</si>
  <si>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</si>
  <si>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</si>
  <si>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</si>
  <si>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</si>
  <si>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</si>
  <si>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</si>
  <si>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</si>
  <si>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</si>
  <si>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</si>
  <si>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</si>
  <si>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</si>
  <si>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</si>
  <si>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</si>
  <si>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</si>
  <si>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</si>
  <si>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</si>
  <si>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</si>
  <si>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</si>
  <si>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</si>
  <si>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</si>
  <si>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</si>
  <si>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</si>
  <si>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</si>
  <si>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</si>
  <si>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</si>
  <si>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</si>
  <si>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</si>
  <si>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</si>
  <si>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</si>
  <si>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</si>
  <si>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</si>
  <si>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</si>
  <si>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</si>
  <si>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</si>
  <si>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</si>
  <si>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</si>
  <si>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</si>
  <si>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</si>
  <si>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</si>
  <si>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</si>
  <si>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</si>
  <si>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</si>
  <si>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</si>
  <si>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</si>
  <si>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</si>
  <si>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</si>
  <si>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</si>
  <si>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</si>
  <si>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</si>
  <si>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</si>
  <si>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</si>
  <si>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</si>
  <si>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</si>
  <si>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</si>
  <si>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</si>
  <si>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</si>
  <si>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</si>
  <si>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</si>
  <si>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</si>
  <si>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</si>
  <si>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</si>
  <si>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</si>
  <si>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</si>
  <si>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</si>
  <si>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</si>
  <si>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</si>
  <si>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</si>
  <si>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</si>
  <si>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</si>
  <si>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</si>
  <si>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</si>
  <si>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</si>
  <si>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</si>
  <si>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</si>
  <si>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</si>
  <si>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</si>
  <si>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</si>
  <si>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</si>
  <si>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</si>
  <si>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</si>
  <si>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</si>
  <si>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</si>
  <si>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</si>
  <si>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</si>
  <si>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</si>
  <si>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</si>
  <si>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</si>
  <si>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</si>
  <si>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</si>
  <si>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</si>
  <si>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</si>
  <si>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</si>
  <si>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</si>
  <si>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</si>
  <si>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</si>
  <si>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</si>
  <si>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</si>
  <si>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</si>
  <si>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</si>
  <si>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</si>
  <si>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</si>
  <si>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</si>
  <si>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</si>
  <si>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</si>
  <si>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</si>
  <si>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</si>
  <si>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</si>
  <si>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</si>
  <si>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</si>
  <si>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</si>
  <si>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</si>
  <si>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</si>
  <si>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</si>
  <si>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</si>
  <si>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</si>
  <si>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</si>
  <si>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</si>
  <si>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</si>
  <si>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</si>
  <si>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</si>
  <si>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</si>
  <si>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</si>
  <si>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</si>
  <si>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</si>
  <si>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</si>
  <si>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</si>
  <si>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</si>
  <si>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</si>
  <si>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</si>
  <si>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</si>
  <si>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</si>
  <si>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</si>
  <si>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</si>
  <si>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</si>
  <si>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</si>
  <si>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</si>
  <si>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</si>
  <si>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</si>
  <si>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</si>
  <si>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</si>
  <si>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</si>
  <si>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</si>
  <si>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</si>
  <si>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</si>
  <si>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</si>
  <si>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</si>
  <si>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</si>
  <si>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</si>
  <si>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</si>
  <si>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</si>
  <si>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</si>
  <si>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</si>
  <si>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</si>
  <si>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</si>
  <si>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</si>
  <si>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</si>
  <si>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</si>
  <si>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</si>
  <si>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</si>
  <si>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</si>
  <si>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</si>
  <si>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</si>
  <si>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</si>
  <si>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</si>
  <si>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</si>
  <si>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</si>
  <si>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</si>
  <si>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</si>
  <si>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</si>
  <si>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</si>
  <si>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</si>
  <si>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</si>
  <si>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</si>
  <si>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</si>
  <si>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</si>
  <si>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</si>
  <si>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</si>
  <si>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</si>
  <si>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</si>
  <si>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</si>
  <si>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</si>
  <si>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</si>
  <si>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</si>
  <si>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</si>
  <si>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</si>
  <si>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</si>
  <si>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</si>
  <si>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</si>
  <si>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</si>
  <si>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</si>
  <si>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</si>
  <si>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</si>
  <si>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</si>
  <si>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</si>
  <si>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</si>
  <si>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</si>
  <si>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</si>
  <si>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</si>
  <si>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</si>
  <si>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</si>
  <si>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</si>
  <si>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</si>
  <si>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</si>
  <si>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</si>
  <si>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</si>
  <si>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</si>
  <si>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</si>
  <si>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</si>
  <si>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</si>
  <si>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</si>
  <si>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</si>
  <si>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</si>
  <si>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</si>
  <si>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</si>
  <si>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</si>
  <si>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</si>
  <si>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</si>
  <si>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</si>
  <si>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</si>
  <si>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</si>
  <si>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</si>
  <si>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</si>
  <si>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</si>
  <si>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</si>
  <si>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</si>
  <si>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</si>
  <si>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</si>
  <si>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</si>
  <si>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</si>
  <si>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</si>
  <si>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</si>
  <si>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</si>
  <si>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</si>
  <si>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</si>
  <si>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</si>
  <si>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</si>
  <si>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</si>
  <si>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</si>
  <si>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</si>
  <si>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</si>
  <si>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</si>
  <si>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</si>
  <si>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</si>
  <si>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</si>
  <si>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</si>
  <si>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</si>
  <si>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</si>
  <si>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</si>
  <si>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</si>
  <si>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</si>
  <si>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</si>
  <si>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</si>
  <si>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</si>
  <si>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</si>
  <si>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</si>
  <si>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</si>
  <si>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</si>
  <si>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</si>
  <si>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</si>
  <si>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</si>
  <si>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</si>
  <si>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</si>
  <si>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</si>
  <si>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</si>
  <si>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</si>
  <si>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</si>
  <si>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</si>
  <si>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</si>
  <si>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</si>
  <si>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</si>
  <si>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</si>
  <si>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</si>
  <si>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</si>
  <si>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</si>
  <si>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</si>
  <si>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</si>
  <si>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</si>
  <si>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</si>
  <si>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</si>
  <si>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</si>
  <si>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</si>
  <si>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</si>
  <si>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</si>
  <si>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</si>
  <si>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</si>
  <si>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</si>
  <si>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</si>
  <si>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</si>
  <si>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</si>
  <si>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</si>
  <si>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</si>
  <si>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</si>
  <si>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</si>
  <si>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</si>
  <si>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</si>
  <si>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</si>
  <si>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</si>
  <si>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</si>
  <si>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</si>
  <si>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</si>
  <si>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</si>
  <si>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</si>
  <si>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</si>
  <si>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</si>
  <si>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</si>
  <si>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</si>
  <si>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</si>
  <si>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</si>
  <si>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</si>
  <si>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</si>
  <si>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</si>
  <si>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</si>
  <si>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</si>
  <si>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</si>
  <si>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</si>
  <si>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</si>
  <si>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</si>
  <si>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</si>
  <si>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</si>
  <si>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</si>
  <si>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</si>
  <si>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</si>
  <si>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</si>
  <si>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</si>
  <si>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</si>
  <si>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</si>
  <si>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</si>
  <si>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</si>
  <si>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</si>
  <si>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</si>
  <si>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</si>
  <si>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</si>
  <si>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</si>
  <si>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</si>
  <si>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</si>
  <si>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</si>
  <si>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</si>
  <si>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</si>
  <si>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</si>
  <si>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</si>
  <si>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</si>
  <si>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</si>
  <si>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</si>
  <si>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</si>
  <si>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</si>
  <si>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</si>
  <si>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</si>
  <si>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</si>
  <si>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</si>
  <si>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</si>
  <si>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</si>
  <si>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</si>
  <si>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</si>
  <si>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</si>
  <si>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</si>
  <si>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</si>
  <si>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</si>
  <si>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</si>
  <si>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</si>
  <si>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</si>
  <si>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</si>
  <si>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</si>
  <si>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</si>
  <si>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</si>
  <si>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</si>
  <si>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</si>
  <si>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</si>
  <si>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</si>
  <si>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</si>
  <si>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</si>
  <si>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</si>
  <si>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</si>
  <si>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</si>
  <si>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</si>
  <si>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</si>
  <si>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</si>
  <si>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</si>
  <si>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</si>
  <si>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</si>
  <si>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</si>
  <si>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</si>
  <si>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</si>
  <si>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</si>
  <si>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</si>
  <si>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</si>
  <si>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</si>
  <si>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</si>
  <si>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</si>
  <si>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</si>
  <si>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</si>
  <si>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</si>
  <si>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</si>
  <si>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</si>
  <si>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</si>
  <si>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</si>
  <si>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</si>
  <si>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</si>
  <si>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</si>
  <si>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</si>
  <si>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</si>
  <si>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</si>
  <si>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</si>
  <si>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</si>
  <si>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</si>
  <si>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</si>
  <si>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</si>
  <si>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</si>
  <si>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</si>
  <si>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</si>
  <si>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</si>
  <si>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</si>
  <si>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</si>
  <si>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</si>
  <si>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</si>
  <si>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</si>
  <si>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</si>
  <si>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</si>
  <si>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</si>
  <si>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</si>
  <si>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</si>
  <si>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</si>
  <si>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</si>
  <si>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</si>
  <si>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</si>
  <si>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</si>
  <si>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</si>
  <si>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</si>
  <si>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</si>
  <si>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</si>
  <si>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</si>
  <si>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</si>
  <si>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</si>
  <si>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</si>
  <si>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</si>
  <si>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</si>
  <si>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</si>
  <si>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</si>
  <si>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</si>
  <si>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</si>
  <si>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</si>
  <si>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</si>
  <si>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</si>
  <si>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</si>
  <si>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</si>
  <si>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</si>
  <si>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</si>
  <si>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</si>
  <si>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</si>
  <si>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</si>
  <si>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</si>
  <si>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</si>
  <si>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</si>
  <si>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</si>
  <si>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</si>
  <si>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</si>
  <si>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</si>
  <si>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</si>
  <si>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</si>
  <si>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</si>
  <si>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</si>
  <si>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</si>
  <si>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</si>
  <si>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</si>
  <si>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</si>
  <si>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</si>
  <si>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</si>
  <si>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</si>
  <si>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</si>
  <si>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</si>
  <si>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</si>
  <si>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</si>
  <si>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</si>
  <si>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</si>
  <si>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</si>
  <si>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</si>
  <si>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</si>
  <si>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</si>
  <si>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</si>
  <si>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</si>
  <si>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</si>
  <si>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</si>
  <si>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</si>
  <si>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</si>
  <si>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</si>
  <si>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</si>
  <si>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</si>
  <si>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</si>
  <si>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</si>
  <si>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</si>
  <si>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</si>
  <si>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</si>
  <si>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</si>
  <si>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</si>
  <si>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</si>
  <si>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</si>
  <si>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</si>
  <si>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</si>
  <si>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</si>
  <si>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</si>
  <si>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</si>
  <si>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</si>
  <si>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</si>
  <si>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</si>
  <si>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</si>
  <si>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</si>
  <si>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</si>
  <si>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</si>
  <si>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</si>
  <si>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</si>
  <si>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</si>
  <si>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</si>
  <si>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</si>
  <si>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</si>
  <si>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</si>
  <si>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</si>
  <si>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</si>
  <si>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</si>
  <si>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</si>
  <si>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</si>
  <si>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</si>
  <si>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</si>
  <si>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</si>
  <si>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</si>
  <si>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</si>
  <si>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</si>
  <si>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</si>
  <si>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</si>
  <si>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</si>
  <si>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</si>
  <si>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</si>
  <si>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</si>
  <si>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</si>
  <si>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</si>
  <si>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</si>
  <si>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</si>
  <si>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</si>
  <si>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</si>
  <si>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</si>
  <si>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</si>
  <si>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</si>
  <si>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</si>
  <si>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</si>
  <si>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</si>
  <si>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</si>
  <si>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</si>
  <si>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</si>
  <si>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</si>
  <si>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</si>
  <si>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</si>
  <si>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</si>
  <si>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</si>
  <si>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</si>
  <si>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</si>
  <si>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</si>
  <si>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</si>
  <si>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</si>
  <si>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</si>
  <si>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</si>
  <si>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</si>
  <si>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</si>
  <si>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</si>
  <si>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</si>
  <si>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</si>
  <si>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</si>
  <si>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</si>
  <si>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</si>
  <si>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</si>
  <si>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</si>
  <si>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</si>
  <si>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</si>
  <si>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</si>
  <si>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</si>
  <si>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</si>
  <si>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</si>
  <si>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</si>
  <si>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</si>
  <si>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</si>
  <si>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</si>
  <si>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</si>
  <si>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</si>
  <si>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</si>
  <si>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</si>
  <si>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</si>
  <si>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</si>
  <si>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</si>
  <si>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</si>
  <si>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</si>
  <si>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</si>
  <si>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</si>
  <si>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</si>
  <si>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</si>
  <si>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</si>
  <si>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</si>
  <si>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</si>
  <si>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</si>
  <si>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</si>
  <si>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</si>
  <si>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</si>
  <si>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</si>
  <si>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</si>
  <si>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</si>
  <si>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</si>
  <si>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</si>
  <si>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</si>
  <si>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</si>
  <si>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</si>
  <si>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</si>
  <si>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</si>
  <si>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</si>
  <si>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</si>
  <si>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</si>
  <si>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</si>
  <si>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</si>
  <si>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</si>
  <si>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</si>
  <si>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</si>
  <si>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</si>
  <si>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</si>
  <si>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</si>
  <si>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</si>
  <si>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</si>
  <si>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Bloqué - Ne pas utiliser</t>
  </si>
  <si>
    <t>G07790</t>
  </si>
  <si>
    <t>DEPENSES DIVERSES- SAAQ</t>
  </si>
  <si>
    <t>VTES-SOUS-TRAITANCE SAAQ</t>
  </si>
  <si>
    <t>COUT-SOUS-TRAITANCE SAAQ</t>
  </si>
  <si>
    <t>Programme Excellence</t>
  </si>
  <si>
    <t>Dette à Long terme</t>
  </si>
  <si>
    <t>Total Dépt. Wholesale autres</t>
  </si>
  <si>
    <t>M-O Garantie</t>
  </si>
  <si>
    <t>G0161</t>
  </si>
  <si>
    <t>G0162</t>
  </si>
  <si>
    <t>G90551</t>
  </si>
  <si>
    <t>DEALER FINANCE - NEUF</t>
  </si>
  <si>
    <t>G90552</t>
  </si>
  <si>
    <t>DEALER FINANCE - USAGE</t>
  </si>
  <si>
    <t>FRAIS DE DOSSIER NEUF</t>
  </si>
  <si>
    <t>FRAIS DE DOSSIER USAGÉ</t>
  </si>
  <si>
    <t>Frais assurances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</si>
</sst>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80">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2" fontId="0" fillId="0" borderId="0" xfId="0" applyNumberFormat="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7" xfId="0" applyFont="1" applyBorder="1" applyAlignment="1">
      <alignment horizontal="center"/>
    </xf>
    <xf numFmtId="0" fontId="125" fillId="0" borderId="17" xfId="0" applyFont="1" applyBorder="1"/>
    <xf numFmtId="0" fontId="125" fillId="0" borderId="4" xfId="0" applyFont="1" applyBorder="1"/>
    <xf numFmtId="0" fontId="121" fillId="0" borderId="16" xfId="0" applyFont="1" applyBorder="1" applyAlignment="1">
      <alignment horizontal="center"/>
    </xf>
    <xf numFmtId="0" fontId="125" fillId="0" borderId="18" xfId="0" applyFont="1" applyBorder="1"/>
    <xf numFmtId="0" fontId="121" fillId="0" borderId="3"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18</v>
      </c>
      <c r="C3" s="4">
        <f>+VLOOKUP(B3,$K$3:$L$14,2,0)</f>
        <v>10</v>
      </c>
      <c r="G3" s="3"/>
      <c r="K3" s="5" t="s">
        <v>6</v>
      </c>
      <c r="L3" s="4">
        <v>1</v>
      </c>
      <c r="M3" s="4" t="str">
        <f t="shared" ref="M3:M14" si="0">+IF($K3=$B$3,"X","")</f>
        <v/>
      </c>
      <c r="N3" s="4" t="str">
        <f t="shared" ref="N3:N14" si="1">+IF(K3=B3,"X",IF(L3&lt;=$C$3,"X",""))</f>
        <v>X</v>
      </c>
    </row>
    <row r="4" spans="1:14" ht="14.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ht="14.4">
      <c r="A6" s="1"/>
      <c r="B6" s="6"/>
      <c r="K6" s="5" t="s">
        <v>10</v>
      </c>
      <c r="L6" s="4">
        <v>4</v>
      </c>
      <c r="M6" s="4" t="str">
        <f t="shared" si="0"/>
        <v/>
      </c>
      <c r="N6" s="4" t="str">
        <f t="shared" si="1"/>
        <v>X</v>
      </c>
    </row>
    <row r="7" spans="1:14" ht="14.4">
      <c r="A7" s="3"/>
      <c r="B7" s="7"/>
      <c r="K7" s="5" t="s">
        <v>11</v>
      </c>
      <c r="L7" s="4">
        <v>5</v>
      </c>
      <c r="M7" s="4" t="str">
        <f t="shared" si="0"/>
        <v/>
      </c>
      <c r="N7" s="4" t="str">
        <f t="shared" si="1"/>
        <v>X</v>
      </c>
    </row>
    <row r="8" spans="1:14" ht="14.4">
      <c r="A8" s="3"/>
      <c r="B8" s="7"/>
      <c r="K8" s="5" t="s">
        <v>12</v>
      </c>
      <c r="L8" s="4">
        <v>6</v>
      </c>
      <c r="M8" s="4" t="str">
        <f t="shared" si="0"/>
        <v/>
      </c>
      <c r="N8" s="4" t="str">
        <f t="shared" si="1"/>
        <v>X</v>
      </c>
    </row>
    <row r="9" spans="1:14" ht="15" customHeight="1">
      <c r="A9" s="5" t="s">
        <v>13</v>
      </c>
      <c r="K9" s="5" t="s">
        <v>14</v>
      </c>
      <c r="L9" s="4">
        <v>7</v>
      </c>
      <c r="M9" s="4" t="str">
        <f t="shared" si="0"/>
        <v/>
      </c>
      <c r="N9" s="4" t="str">
        <f t="shared" si="1"/>
        <v>X</v>
      </c>
    </row>
    <row r="10" spans="1:14" ht="14.4">
      <c r="A10" s="3" t="s">
        <v>1159</v>
      </c>
      <c r="I10" s="3"/>
      <c r="K10" s="5" t="s">
        <v>15</v>
      </c>
      <c r="L10" s="4">
        <v>8</v>
      </c>
      <c r="M10" s="4" t="str">
        <f t="shared" si="0"/>
        <v/>
      </c>
      <c r="N10" s="4" t="str">
        <f t="shared" si="1"/>
        <v>X</v>
      </c>
    </row>
    <row r="11" spans="1:14" ht="14.4">
      <c r="A11" s="3" t="s">
        <v>16</v>
      </c>
      <c r="I11" s="3"/>
      <c r="K11" s="5" t="s">
        <v>17</v>
      </c>
      <c r="L11" s="4">
        <v>9</v>
      </c>
      <c r="M11" s="4" t="str">
        <f t="shared" si="0"/>
        <v/>
      </c>
      <c r="N11" s="4" t="str">
        <f t="shared" si="1"/>
        <v>X</v>
      </c>
    </row>
    <row r="12" spans="1:14" ht="14.4">
      <c r="A12" s="3"/>
      <c r="I12" s="3"/>
      <c r="K12" s="5" t="s">
        <v>18</v>
      </c>
      <c r="L12" s="4">
        <v>10</v>
      </c>
      <c r="M12" s="4" t="str">
        <f t="shared" si="0"/>
        <v>X</v>
      </c>
      <c r="N12" s="4" t="str">
        <f t="shared" si="1"/>
        <v>X</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Octobre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6067651.79</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6067651.79</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676624.89</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1806149.3900000001</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-27094.650000000009</v>
      </c>
      <c r="C10" s="14"/>
      <c r="D10" s="18" t="s">
        <v>29</v>
      </c>
      <c r="E10" s="19">
        <f>-SUMIFS(BV_Data_An_Cour!$AN:$AN,BV_Data_An_Cour!$AP:$AP,$A$1,BV_Data_An_Cour!$AQ:$AQ,$D10)</f>
        <v>1804392.48</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648356.29</v>
      </c>
      <c r="C11" s="14"/>
      <c r="D11" s="18" t="s">
        <v>31</v>
      </c>
      <c r="E11" s="19">
        <f>-SUMIFS(BV_Data_An_Cour!$AN:$AN,BV_Data_An_Cour!$AP:$AP,$A$1,BV_Data_An_Cour!$AQ:$AQ,$D11)</f>
        <v>-746030.1599999998</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6107.21</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2076</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8759919.3800000008</v>
      </c>
      <c r="C14" s="14"/>
      <c r="D14" s="18" t="s">
        <v>37</v>
      </c>
      <c r="E14" s="19">
        <f>-SUMIFS(BV_Data_An_Cour!$AN:$AN,BV_Data_An_Cour!$AP:$AP,$A$1,BV_Data_An_Cour!$AQ:$AQ,$D14)</f>
        <v>7870322.0899999999</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598344.87</v>
      </c>
      <c r="C15" s="14"/>
      <c r="D15" s="18" t="s">
        <v>39</v>
      </c>
      <c r="E15" s="19">
        <f>-SUMIFS(BV_Data_An_Cour!$AN:$AN,BV_Data_An_Cour!$AP:$AP,$A$1,BV_Data_An_Cour!$AQ:$AQ,$D15)</f>
        <v>116864.04999999999</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12470483.380000001</v>
      </c>
      <c r="C16" s="17"/>
      <c r="D16" s="15" t="s">
        <v>41</v>
      </c>
      <c r="E16" s="16">
        <f>+SUM(E10:E15)</f>
        <v>9045548.4600000009</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28162798.620000001</v>
      </c>
      <c r="C18" s="14"/>
      <c r="D18" s="18" t="s">
        <v>43</v>
      </c>
      <c r="E18" s="19">
        <f>-SUMIFS(BV_Data_An_Cour!$AN:$AN,BV_Data_An_Cour!$AP:$AP,$A$1,BV_Data_An_Cour!$AQ:$AQ,$D18)</f>
        <v>31275220.559999999</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6964113.0399999991</v>
      </c>
      <c r="C19" s="14"/>
      <c r="D19" s="18" t="s">
        <v>45</v>
      </c>
      <c r="E19" s="19">
        <f>-SUMIFS(BV_Data_An_Cour!$AN:$AN,BV_Data_An_Cour!$AP:$AP,$A$1,BV_Data_An_Cour!$AQ:$AQ,$D19)</f>
        <v>6514875.9100000001</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673582.5</v>
      </c>
      <c r="C20" s="14"/>
      <c r="D20" s="15" t="s">
        <v>47</v>
      </c>
      <c r="E20" s="16">
        <f>+SUM(E18:E19)</f>
        <v>37790096.469999999</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35800494.159999996</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150942.01</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13108.44</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18283.05</v>
      </c>
      <c r="C24" s="14"/>
      <c r="D24" s="18" t="s">
        <v>53</v>
      </c>
      <c r="E24" s="19">
        <f>-SUMIFS(BV_Data_An_Cour!$AN:$AN,BV_Data_An_Cour!$AP:$AP,$A$1,BV_Data_An_Cour!$AQ:$AQ,$D24)</f>
        <v>608961.03</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38003.68</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985276.11</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773011.48</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1041562.84</v>
      </c>
      <c r="C30" s="17"/>
      <c r="D30" s="21" t="s">
        <v>59</v>
      </c>
      <c r="E30" s="22">
        <f>+E5+E7+E16+E20+E28</f>
        <v>47608656.409999996</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55380192.170000002</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151083.72</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386538.98000000004</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53328.200000000012</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72388.649999999994</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6986.5599999999977</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670326.1100000001</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47577694.409999996</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14974</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8680057.2400000039</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685300.1100000001</v>
      </c>
      <c r="C53" s="17"/>
      <c r="D53" s="21" t="s">
        <v>85</v>
      </c>
      <c r="E53" s="22">
        <f>SUM(E48:E51)</f>
        <v>8680293.2400000039</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56065492.280000001</v>
      </c>
      <c r="C56" s="17"/>
      <c r="D56" s="21" t="s">
        <v>87</v>
      </c>
      <c r="E56" s="22">
        <f>+E53+E45</f>
        <v>56257987.649999999</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-192495.36999999732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X</v>
      </c>
      <c r="AH2" s="32" t="str">
        <f>+IF(Parametres!$B$3=AG$6,"O","")</f>
        <v>O</v>
      </c>
      <c r="AI2" s="32" t="str">
        <f>+IF(Parametres!$B$3=AG$6,"U","")</f>
        <v>U</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2" t="s">
        <v>1101</v>
      </c>
      <c r="D6" s="1053"/>
      <c r="E6" s="1054"/>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2">
        <v>2021</v>
      </c>
      <c r="D94" s="1053"/>
      <c r="E94" s="105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2"/>
      <c r="D173" s="1053"/>
      <c r="E173" s="1054"/>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2"/>
      <c r="D241" s="1053"/>
      <c r="E241" s="1054"/>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2"/>
      <c r="D296" s="1053"/>
      <c r="E296" s="1054"/>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2"/>
      <c r="D361" s="1053"/>
      <c r="E361" s="1054"/>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2"/>
      <c r="D407" s="1053"/>
      <c r="E407" s="1054"/>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
      </c>
      <c r="G2" s="32" t="str">
        <f>+IF(Parametres!$B$3=F$6,"O","")</f>
        <v/>
      </c>
      <c r="H2" s="32" t="str">
        <f>+IF(Parametres!$B$3=F$6,"U","")</f>
        <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X</v>
      </c>
      <c r="AH2" s="32" t="str">
        <f>+IF(Parametres!$B$3=AG$6,"O","")</f>
        <v>O</v>
      </c>
      <c r="AI2" s="32" t="str">
        <f>+IF(Parametres!$B$3=AG$6,"U","")</f>
        <v>U</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REEL</v>
      </c>
      <c r="J3" s="95" t="str">
        <f>+IF(VLOOKUP(J2,Parametres!$L$3:$N$14,3,0)="X","REEL","FORECAST")</f>
        <v>REEL</v>
      </c>
      <c r="K3" s="95" t="str">
        <f>+IF(VLOOKUP(K2,Parametres!$L$3:$N$14,3,0)="X","REEL","FORECAST")</f>
        <v>REEL</v>
      </c>
      <c r="L3" s="95" t="str">
        <f>+IF(VLOOKUP(L2,Parametres!$L$3:$N$14,3,0)="X","REEL","FORECAST")</f>
        <v>REEL</v>
      </c>
      <c r="M3" s="95" t="str">
        <f>+IF(VLOOKUP(M2,Parametres!$L$3:$N$14,3,0)="X","REEL","FORECAST")</f>
        <v>REEL</v>
      </c>
      <c r="N3" s="95" t="str">
        <f>+IF(VLOOKUP(N2,Parametres!$L$3:$N$14,3,0)="X","REEL","FORECAST")</f>
        <v>REEL</v>
      </c>
      <c r="O3" s="95" t="str">
        <f>+IF(VLOOKUP(O2,Parametres!$L$3:$N$14,3,0)="X","REEL","FORECAST")</f>
        <v>REEL</v>
      </c>
      <c r="P3" s="95" t="str">
        <f>+IF(VLOOKUP(P2,Parametres!$L$3:$N$14,3,0)="X","REEL","FORECAST")</f>
        <v>REEL</v>
      </c>
      <c r="Q3" s="95" t="str">
        <f>+IF(VLOOKUP(Q2,Parametres!$L$3:$N$14,3,0)="X","REEL","FORECAST")</f>
        <v>REEL</v>
      </c>
      <c r="R3" s="95" t="str">
        <f>+IF(VLOOKUP(R2,Parametres!$L$3:$N$14,3,0)="X","REEL","FORECAST")</f>
        <v>FORECAST</v>
      </c>
      <c r="S3" s="95" t="str">
        <f>+IF(VLOOKUP(S2,Parametres!$L$3:$N$14,3,0)="X","REEL","FORECAST")</f>
        <v>FORECAST</v>
      </c>
      <c r="T3" s="3"/>
      <c r="U3" s="3"/>
      <c r="V3" s="3"/>
      <c r="W3" s="3"/>
      <c r="X3" s="3"/>
      <c r="Y3" s="3"/>
      <c r="Z3" s="3"/>
    </row>
    <row r="4" spans="1:26" ht="30" customHeight="1">
      <c r="A4" s="1055" t="s">
        <v>224</v>
      </c>
      <c r="B4" s="1055"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6"/>
      <c r="B5" s="1056"/>
      <c r="C5" s="1057" t="s">
        <v>244</v>
      </c>
      <c r="D5" s="1058"/>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2" t="str">
        <f>Parametres!$B$1&amp;" "&amp;"2 pager"&amp;" "&amp;Parametres!$B$3&amp;" "&amp;Parametres!$B$4</f>
        <v>Ste-Marie Auto 2 pager Octobre 2025</v>
      </c>
      <c r="C1" s="1063"/>
      <c r="D1" s="1063"/>
      <c r="E1" s="1063"/>
      <c r="F1" s="1063"/>
      <c r="G1" s="1063"/>
      <c r="H1" s="1063"/>
      <c r="I1" s="1063"/>
      <c r="J1" s="1063"/>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f>+Print_Mois!$J$13+Print_Mois!$J$15</f>
        <v>63</v>
      </c>
      <c r="D4" s="155">
        <f>+Print_Mois!$D$13+Print_Mois!$D$15</f>
        <v>0</v>
      </c>
      <c r="E4" s="155">
        <f>+Print_Mois!$O$13+Print_Mois!$O$15</f>
        <v>0</v>
      </c>
      <c r="F4" s="156">
        <f t="shared" ref="F4:F15" si="0">+IFERROR($C4-D4,"")</f>
        <v>63</v>
      </c>
      <c r="G4" s="157">
        <f t="shared" ref="G4:G15" si="1">+IFERROR($C4-E4,"")</f>
        <v>63</v>
      </c>
      <c r="H4" s="158" t="str">
        <f t="shared" ref="H4:H15" si="2">+IFERROR(F4/ABS($D4),"")</f>
        <v/>
      </c>
      <c r="I4" s="159" t="str">
        <f t="shared" ref="I4:I15" si="3">+IFERROR(G4/ABS($E4),"")</f>
        <v/>
      </c>
      <c r="J4" s="1059" t="s">
        <v>1088</v>
      </c>
      <c r="K4" s="3"/>
      <c r="L4" s="3"/>
      <c r="M4" s="3"/>
      <c r="N4" s="3"/>
      <c r="O4" s="3"/>
      <c r="P4" s="3"/>
      <c r="Q4" s="3"/>
      <c r="R4" s="3"/>
      <c r="S4" s="3"/>
      <c r="T4" s="3"/>
      <c r="U4" s="3"/>
      <c r="V4" s="3"/>
      <c r="W4" s="3"/>
    </row>
    <row r="5" spans="1:23" ht="14.4">
      <c r="A5" s="3"/>
      <c r="B5" s="160" t="s">
        <v>287</v>
      </c>
      <c r="C5" s="161">
        <f>+Print_Mois!$L$13+Print_Mois!$L$15</f>
        <v>178341.70999999915</v>
      </c>
      <c r="D5" s="161">
        <f>+Print_Mois!$F$13+Print_Mois!$F$15</f>
        <v>0</v>
      </c>
      <c r="E5" s="161">
        <f>+Print_Mois!$Q$13+Print_Mois!$Q$15</f>
        <v>0</v>
      </c>
      <c r="F5" s="162">
        <f t="shared" si="0"/>
        <v>178341.70999999915</v>
      </c>
      <c r="G5" s="163">
        <f t="shared" si="1"/>
        <v>178341.70999999915</v>
      </c>
      <c r="H5" s="165" t="str">
        <f t="shared" si="2"/>
        <v/>
      </c>
      <c r="I5" s="166" t="str">
        <f t="shared" si="3"/>
        <v/>
      </c>
      <c r="J5" s="1060"/>
      <c r="K5" s="3"/>
      <c r="L5" s="3"/>
      <c r="M5" s="3"/>
      <c r="N5" s="3"/>
      <c r="O5" s="3"/>
      <c r="P5" s="3"/>
      <c r="Q5" s="3"/>
      <c r="R5" s="3"/>
      <c r="S5" s="3"/>
      <c r="T5" s="3"/>
      <c r="U5" s="3"/>
      <c r="V5" s="3"/>
      <c r="W5" s="3"/>
    </row>
    <row r="6" spans="1:23" ht="14.4">
      <c r="A6" s="3"/>
      <c r="B6" s="160" t="s">
        <v>288</v>
      </c>
      <c r="C6" s="161">
        <f t="shared" ref="C6:E6" si="4">+C5/C4</f>
        <v>2830.8207936507802</v>
      </c>
      <c r="D6" s="161" t="e">
        <f t="shared" si="4"/>
        <v>#DIV/0!</v>
      </c>
      <c r="E6" s="161" t="e">
        <f t="shared" si="4"/>
        <v>#DIV/0!</v>
      </c>
      <c r="F6" s="162" t="str">
        <f t="shared" si="0"/>
        <v/>
      </c>
      <c r="G6" s="163" t="str">
        <f t="shared" si="1"/>
        <v/>
      </c>
      <c r="H6" s="165" t="str">
        <f t="shared" si="2"/>
        <v/>
      </c>
      <c r="I6" s="166" t="str">
        <f t="shared" si="3"/>
        <v/>
      </c>
      <c r="J6" s="1060"/>
      <c r="K6" s="3"/>
      <c r="L6" s="3"/>
      <c r="M6" s="3"/>
      <c r="N6" s="3"/>
      <c r="O6" s="3"/>
      <c r="P6" s="3"/>
      <c r="Q6" s="3"/>
      <c r="R6" s="3"/>
      <c r="S6" s="3"/>
      <c r="T6" s="3"/>
      <c r="U6" s="3"/>
      <c r="V6" s="3"/>
      <c r="W6" s="3"/>
    </row>
    <row r="7" spans="1:23" ht="14.4">
      <c r="A7" s="3"/>
      <c r="B7" s="160" t="s">
        <v>289</v>
      </c>
      <c r="C7" s="161">
        <f>+Print_Mois!$L$31</f>
        <v>63047.100000000035</v>
      </c>
      <c r="D7" s="161">
        <f>+Print_Mois!$F$31</f>
        <v>0</v>
      </c>
      <c r="E7" s="161">
        <f>+Print_Mois!$Q$31</f>
        <v>0</v>
      </c>
      <c r="F7" s="162">
        <f t="shared" si="0"/>
        <v>63047.100000000035</v>
      </c>
      <c r="G7" s="163">
        <f t="shared" si="1"/>
        <v>63047.100000000035</v>
      </c>
      <c r="H7" s="165" t="str">
        <f t="shared" si="2"/>
        <v/>
      </c>
      <c r="I7" s="166" t="str">
        <f t="shared" si="3"/>
        <v/>
      </c>
      <c r="J7" s="1060"/>
      <c r="K7" s="3"/>
      <c r="L7" s="3"/>
      <c r="M7" s="3"/>
      <c r="N7" s="3"/>
      <c r="O7" s="3"/>
      <c r="P7" s="3"/>
      <c r="Q7" s="3"/>
      <c r="R7" s="3"/>
      <c r="S7" s="3"/>
      <c r="T7" s="3"/>
      <c r="U7" s="3"/>
      <c r="V7" s="3"/>
      <c r="W7" s="3"/>
    </row>
    <row r="8" spans="1:23" ht="14.4">
      <c r="A8" s="3"/>
      <c r="B8" s="160" t="s">
        <v>290</v>
      </c>
      <c r="C8" s="164">
        <f t="shared" ref="C8:E8" si="5">+C7/C5</f>
        <v>0.35351853472752021</v>
      </c>
      <c r="D8" s="164" t="e">
        <f t="shared" si="5"/>
        <v>#DIV/0!</v>
      </c>
      <c r="E8" s="164" t="e">
        <f t="shared" si="5"/>
        <v>#DIV/0!</v>
      </c>
      <c r="F8" s="167" t="str">
        <f t="shared" si="0"/>
        <v/>
      </c>
      <c r="G8" s="168" t="str">
        <f t="shared" si="1"/>
        <v/>
      </c>
      <c r="H8" s="165" t="str">
        <f t="shared" si="2"/>
        <v/>
      </c>
      <c r="I8" s="166" t="str">
        <f t="shared" si="3"/>
        <v/>
      </c>
      <c r="J8" s="1060"/>
      <c r="K8" s="3"/>
      <c r="L8" s="3"/>
      <c r="M8" s="3"/>
      <c r="N8" s="3"/>
      <c r="O8" s="3"/>
      <c r="P8" s="3"/>
      <c r="Q8" s="3"/>
      <c r="R8" s="3"/>
      <c r="S8" s="3"/>
      <c r="T8" s="3"/>
      <c r="U8" s="3"/>
      <c r="V8" s="3"/>
      <c r="W8" s="3"/>
    </row>
    <row r="9" spans="1:23" ht="14.4">
      <c r="A9" s="3"/>
      <c r="B9" s="160" t="s">
        <v>291</v>
      </c>
      <c r="C9" s="161">
        <f>+Print_Mois!$L$24</f>
        <v>52036.260000000031</v>
      </c>
      <c r="D9" s="161">
        <f>+Print_Mois!$F$24</f>
        <v>0</v>
      </c>
      <c r="E9" s="161">
        <f>+Print_Mois!$Q$24</f>
        <v>0</v>
      </c>
      <c r="F9" s="162">
        <f t="shared" si="0"/>
        <v>52036.260000000031</v>
      </c>
      <c r="G9" s="163">
        <f t="shared" si="1"/>
        <v>52036.260000000031</v>
      </c>
      <c r="H9" s="165" t="str">
        <f t="shared" si="2"/>
        <v/>
      </c>
      <c r="I9" s="166" t="str">
        <f t="shared" si="3"/>
        <v/>
      </c>
      <c r="J9" s="1060"/>
      <c r="K9" s="3"/>
      <c r="L9" s="3"/>
      <c r="M9" s="3"/>
      <c r="N9" s="3"/>
      <c r="O9" s="3"/>
      <c r="P9" s="3"/>
      <c r="Q9" s="3"/>
      <c r="R9" s="3"/>
      <c r="S9" s="3"/>
      <c r="T9" s="3"/>
      <c r="U9" s="3"/>
      <c r="V9" s="3"/>
      <c r="W9" s="3"/>
    </row>
    <row r="10" spans="1:23" ht="14.4">
      <c r="A10" s="3"/>
      <c r="B10" s="160" t="s">
        <v>292</v>
      </c>
      <c r="C10" s="161">
        <f t="shared" ref="C10:E10" si="6">+C9/C4</f>
        <v>825.9723809523814</v>
      </c>
      <c r="D10" s="161" t="e">
        <f t="shared" si="6"/>
        <v>#DIV/0!</v>
      </c>
      <c r="E10" s="161" t="e">
        <f t="shared" si="6"/>
        <v>#DIV/0!</v>
      </c>
      <c r="F10" s="162" t="str">
        <f t="shared" si="0"/>
        <v/>
      </c>
      <c r="G10" s="163" t="str">
        <f t="shared" si="1"/>
        <v/>
      </c>
      <c r="H10" s="165" t="str">
        <f t="shared" si="2"/>
        <v/>
      </c>
      <c r="I10" s="166" t="str">
        <f t="shared" si="3"/>
        <v/>
      </c>
      <c r="J10" s="1060"/>
      <c r="K10" s="3"/>
      <c r="L10" s="3"/>
      <c r="M10" s="3"/>
      <c r="N10" s="3"/>
      <c r="O10" s="3"/>
      <c r="P10" s="3"/>
      <c r="Q10" s="3"/>
      <c r="R10" s="3"/>
      <c r="S10" s="3"/>
      <c r="T10" s="3"/>
      <c r="U10" s="3"/>
      <c r="V10" s="3"/>
      <c r="W10" s="3"/>
    </row>
    <row r="11" spans="1:23" ht="14.4">
      <c r="A11" s="3"/>
      <c r="B11" s="160" t="s">
        <v>293</v>
      </c>
      <c r="C11" s="161">
        <f>+Print_Mois!$L$32</f>
        <v>8728.9700000000012</v>
      </c>
      <c r="D11" s="161">
        <f>+Print_Mois!$F$32</f>
        <v>0</v>
      </c>
      <c r="E11" s="161">
        <f>+Print_Mois!$Q$32</f>
        <v>0</v>
      </c>
      <c r="F11" s="162">
        <f t="shared" si="0"/>
        <v>8728.9700000000012</v>
      </c>
      <c r="G11" s="163">
        <f t="shared" si="1"/>
        <v>8728.9700000000012</v>
      </c>
      <c r="H11" s="165" t="str">
        <f t="shared" si="2"/>
        <v/>
      </c>
      <c r="I11" s="166" t="str">
        <f t="shared" si="3"/>
        <v/>
      </c>
      <c r="J11" s="1060"/>
      <c r="K11" s="3"/>
      <c r="L11" s="3"/>
      <c r="M11" s="3"/>
      <c r="N11" s="3"/>
      <c r="O11" s="3"/>
      <c r="P11" s="3"/>
      <c r="Q11" s="3"/>
      <c r="R11" s="3"/>
      <c r="S11" s="3"/>
      <c r="T11" s="3"/>
      <c r="U11" s="3"/>
      <c r="V11" s="3"/>
      <c r="W11" s="3"/>
    </row>
    <row r="12" spans="1:23" ht="14.4">
      <c r="A12" s="3"/>
      <c r="B12" s="160" t="s">
        <v>294</v>
      </c>
      <c r="C12" s="164">
        <f t="shared" ref="C12:E12" si="7">+C11/C9</f>
        <v>0.16774783583601119</v>
      </c>
      <c r="D12" s="164" t="e">
        <f t="shared" si="7"/>
        <v>#DIV/0!</v>
      </c>
      <c r="E12" s="164" t="e">
        <f t="shared" si="7"/>
        <v>#DIV/0!</v>
      </c>
      <c r="F12" s="165" t="str">
        <f t="shared" si="0"/>
        <v/>
      </c>
      <c r="G12" s="169" t="str">
        <f t="shared" si="1"/>
        <v/>
      </c>
      <c r="H12" s="165" t="str">
        <f t="shared" si="2"/>
        <v/>
      </c>
      <c r="I12" s="166" t="str">
        <f t="shared" si="3"/>
        <v/>
      </c>
      <c r="J12" s="1060"/>
      <c r="K12" s="3"/>
      <c r="L12" s="3"/>
      <c r="M12" s="3"/>
      <c r="N12" s="3"/>
      <c r="O12" s="3"/>
      <c r="P12" s="3"/>
      <c r="Q12" s="3"/>
      <c r="R12" s="3"/>
      <c r="S12" s="3"/>
      <c r="T12" s="3"/>
      <c r="U12" s="3"/>
      <c r="V12" s="3"/>
      <c r="W12" s="3"/>
    </row>
    <row r="13" spans="1:23" ht="14.4">
      <c r="A13" s="3"/>
      <c r="B13" s="160" t="s">
        <v>295</v>
      </c>
      <c r="C13" s="161">
        <f>+Print_Mois!$L$41-C7-C11</f>
        <v>-303346.36</v>
      </c>
      <c r="D13" s="161">
        <f>+Print_Mois!$F$41-D7-D11</f>
        <v>0</v>
      </c>
      <c r="E13" s="161">
        <f>+Print_Mois!$Q$41-E7-E11</f>
        <v>0</v>
      </c>
      <c r="F13" s="162">
        <f t="shared" si="0"/>
        <v>-303346.36</v>
      </c>
      <c r="G13" s="163">
        <f t="shared" si="1"/>
        <v>-303346.36</v>
      </c>
      <c r="H13" s="165" t="str">
        <f t="shared" si="2"/>
        <v/>
      </c>
      <c r="I13" s="166" t="str">
        <f t="shared" si="3"/>
        <v/>
      </c>
      <c r="J13" s="1060"/>
      <c r="K13" s="3"/>
      <c r="L13" s="3"/>
      <c r="M13" s="3"/>
      <c r="N13" s="3"/>
      <c r="O13" s="3"/>
      <c r="P13" s="3"/>
      <c r="Q13" s="3"/>
      <c r="R13" s="3"/>
      <c r="S13" s="3"/>
      <c r="T13" s="3"/>
      <c r="U13" s="3"/>
      <c r="V13" s="3"/>
      <c r="W13" s="3"/>
    </row>
    <row r="14" spans="1:23" ht="14.4">
      <c r="A14" s="3"/>
      <c r="B14" s="160" t="s">
        <v>296</v>
      </c>
      <c r="C14" s="161">
        <f t="shared" ref="C14:E14" si="8">+C13/C4</f>
        <v>-4815.0215873015868</v>
      </c>
      <c r="D14" s="161" t="e">
        <f t="shared" si="8"/>
        <v>#DIV/0!</v>
      </c>
      <c r="E14" s="161" t="e">
        <f t="shared" si="8"/>
        <v>#DIV/0!</v>
      </c>
      <c r="F14" s="162" t="str">
        <f t="shared" si="0"/>
        <v/>
      </c>
      <c r="G14" s="163" t="str">
        <f t="shared" si="1"/>
        <v/>
      </c>
      <c r="H14" s="165" t="str">
        <f t="shared" si="2"/>
        <v/>
      </c>
      <c r="I14" s="166" t="str">
        <f t="shared" si="3"/>
        <v/>
      </c>
      <c r="J14" s="1060"/>
      <c r="K14" s="3"/>
      <c r="L14" s="3"/>
      <c r="M14" s="3"/>
      <c r="N14" s="3"/>
      <c r="O14" s="3"/>
      <c r="P14" s="3"/>
      <c r="Q14" s="3"/>
      <c r="R14" s="3"/>
      <c r="S14" s="3"/>
      <c r="T14" s="3"/>
      <c r="U14" s="3"/>
      <c r="V14" s="3"/>
      <c r="W14" s="3"/>
    </row>
    <row r="15" spans="1:23" ht="14.4">
      <c r="A15" s="3"/>
      <c r="B15" s="160" t="s">
        <v>297</v>
      </c>
      <c r="C15" s="161">
        <f>+Print_Mois!$L$83</f>
        <v>54404.950000000041</v>
      </c>
      <c r="D15" s="161">
        <f>+Print_Mois!$F$83</f>
        <v>0</v>
      </c>
      <c r="E15" s="161">
        <f>+Print_Mois!$Q$83</f>
        <v>0</v>
      </c>
      <c r="F15" s="162">
        <f t="shared" si="0"/>
        <v>54404.950000000041</v>
      </c>
      <c r="G15" s="163">
        <f t="shared" si="1"/>
        <v>54404.950000000041</v>
      </c>
      <c r="H15" s="165" t="str">
        <f t="shared" si="2"/>
        <v/>
      </c>
      <c r="I15" s="166" t="str">
        <f t="shared" si="3"/>
        <v/>
      </c>
      <c r="J15" s="1060"/>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60"/>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60"/>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1"/>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f>+Print_Mois!$J$97</f>
        <v>26</v>
      </c>
      <c r="D21" s="155">
        <f>+Print_Mois!$D$97</f>
        <v>0</v>
      </c>
      <c r="E21" s="155">
        <f>+Print_Mois!$O$97</f>
        <v>0</v>
      </c>
      <c r="F21" s="156">
        <f t="shared" ref="F21:F32" si="11">+IFERROR($C21-D21,"")</f>
        <v>26</v>
      </c>
      <c r="G21" s="157">
        <f t="shared" ref="G21:G32" si="12">+IFERROR($C21-E21,"")</f>
        <v>26</v>
      </c>
      <c r="H21" s="158" t="str">
        <f t="shared" ref="H21:H32" si="13">+IFERROR(F21/ABS($D21),"")</f>
        <v/>
      </c>
      <c r="I21" s="159" t="str">
        <f t="shared" ref="I21:I32" si="14">+IFERROR(G21/ABS($E21),"")</f>
        <v/>
      </c>
      <c r="J21" s="1059" t="s">
        <v>1089</v>
      </c>
      <c r="K21" s="3"/>
      <c r="L21" s="3"/>
      <c r="M21" s="3"/>
      <c r="N21" s="3"/>
      <c r="O21" s="3"/>
      <c r="P21" s="3"/>
      <c r="Q21" s="3"/>
      <c r="R21" s="3"/>
      <c r="S21" s="3"/>
      <c r="T21" s="3"/>
      <c r="U21" s="3"/>
      <c r="V21" s="3"/>
      <c r="W21" s="3"/>
    </row>
    <row r="22" spans="1:23" ht="15.75" customHeight="1">
      <c r="A22" s="3"/>
      <c r="B22" s="160" t="s">
        <v>287</v>
      </c>
      <c r="C22" s="161">
        <f>+Print_Mois!$L$97</f>
        <v>24417.120000000112</v>
      </c>
      <c r="D22" s="161">
        <f>+Print_Mois!$F$97</f>
        <v>0</v>
      </c>
      <c r="E22" s="161">
        <f>+Print_Mois!$Q$97</f>
        <v>0</v>
      </c>
      <c r="F22" s="162">
        <f t="shared" si="11"/>
        <v>24417.120000000112</v>
      </c>
      <c r="G22" s="163">
        <f t="shared" si="12"/>
        <v>24417.120000000112</v>
      </c>
      <c r="H22" s="165" t="str">
        <f t="shared" si="13"/>
        <v/>
      </c>
      <c r="I22" s="166" t="str">
        <f t="shared" si="14"/>
        <v/>
      </c>
      <c r="J22" s="1060"/>
      <c r="K22" s="3"/>
      <c r="L22" s="3"/>
      <c r="M22" s="3"/>
      <c r="N22" s="3"/>
      <c r="O22" s="3"/>
      <c r="P22" s="3"/>
      <c r="Q22" s="3"/>
      <c r="R22" s="3"/>
      <c r="S22" s="3"/>
      <c r="T22" s="3"/>
      <c r="U22" s="3"/>
      <c r="V22" s="3"/>
      <c r="W22" s="3"/>
    </row>
    <row r="23" spans="1:23" ht="15.75" customHeight="1">
      <c r="A23" s="3"/>
      <c r="B23" s="160" t="s">
        <v>288</v>
      </c>
      <c r="C23" s="161">
        <f t="shared" ref="C23:E23" si="15">+C22/C21</f>
        <v>939.12000000000432</v>
      </c>
      <c r="D23" s="161" t="e">
        <f t="shared" si="15"/>
        <v>#DIV/0!</v>
      </c>
      <c r="E23" s="161" t="e">
        <f t="shared" si="15"/>
        <v>#DIV/0!</v>
      </c>
      <c r="F23" s="162" t="str">
        <f t="shared" si="11"/>
        <v/>
      </c>
      <c r="G23" s="163" t="str">
        <f t="shared" si="12"/>
        <v/>
      </c>
      <c r="H23" s="165" t="str">
        <f t="shared" si="13"/>
        <v/>
      </c>
      <c r="I23" s="166" t="str">
        <f t="shared" si="14"/>
        <v/>
      </c>
      <c r="J23" s="1060"/>
      <c r="K23" s="3"/>
      <c r="L23" s="3"/>
      <c r="M23" s="3"/>
      <c r="N23" s="3"/>
      <c r="O23" s="3"/>
      <c r="P23" s="3"/>
      <c r="Q23" s="3"/>
      <c r="R23" s="3"/>
      <c r="S23" s="3"/>
      <c r="T23" s="3"/>
      <c r="U23" s="3"/>
      <c r="V23" s="3"/>
      <c r="W23" s="3"/>
    </row>
    <row r="24" spans="1:23" ht="15.75" customHeight="1">
      <c r="A24" s="3"/>
      <c r="B24" s="160" t="s">
        <v>289</v>
      </c>
      <c r="C24" s="161">
        <f>+Print_Mois!$L$113</f>
        <v>-55105.340000000004</v>
      </c>
      <c r="D24" s="161">
        <f>+Print_Mois!$F$113</f>
        <v>0</v>
      </c>
      <c r="E24" s="161">
        <f>+Print_Mois!$Q$113</f>
        <v>0</v>
      </c>
      <c r="F24" s="162">
        <f t="shared" si="11"/>
        <v>-55105.340000000004</v>
      </c>
      <c r="G24" s="163">
        <f t="shared" si="12"/>
        <v>-55105.340000000004</v>
      </c>
      <c r="H24" s="165" t="str">
        <f t="shared" si="13"/>
        <v/>
      </c>
      <c r="I24" s="166" t="str">
        <f t="shared" si="14"/>
        <v/>
      </c>
      <c r="J24" s="1060"/>
      <c r="K24" s="3"/>
      <c r="L24" s="3"/>
      <c r="M24" s="3"/>
      <c r="N24" s="3"/>
      <c r="O24" s="3"/>
      <c r="P24" s="3"/>
      <c r="Q24" s="3"/>
      <c r="R24" s="3"/>
      <c r="S24" s="3"/>
      <c r="T24" s="3"/>
      <c r="U24" s="3"/>
      <c r="V24" s="3"/>
      <c r="W24" s="3"/>
    </row>
    <row r="25" spans="1:23" ht="15.75" customHeight="1">
      <c r="A25" s="3"/>
      <c r="B25" s="160" t="s">
        <v>290</v>
      </c>
      <c r="C25" s="164">
        <f t="shared" ref="C25:E25" si="16">+C24/C22</f>
        <v>-2.256832091581634</v>
      </c>
      <c r="D25" s="164" t="e">
        <f t="shared" si="16"/>
        <v>#DIV/0!</v>
      </c>
      <c r="E25" s="164" t="e">
        <f t="shared" si="16"/>
        <v>#DIV/0!</v>
      </c>
      <c r="F25" s="167" t="str">
        <f t="shared" si="11"/>
        <v/>
      </c>
      <c r="G25" s="168" t="str">
        <f t="shared" si="12"/>
        <v/>
      </c>
      <c r="H25" s="165" t="str">
        <f t="shared" si="13"/>
        <v/>
      </c>
      <c r="I25" s="166" t="str">
        <f t="shared" si="14"/>
        <v/>
      </c>
      <c r="J25" s="1060"/>
      <c r="K25" s="3"/>
      <c r="L25" s="3"/>
      <c r="M25" s="3"/>
      <c r="N25" s="3"/>
      <c r="O25" s="3"/>
      <c r="P25" s="3"/>
      <c r="Q25" s="3"/>
      <c r="R25" s="3"/>
      <c r="S25" s="3"/>
      <c r="T25" s="3"/>
      <c r="U25" s="3"/>
      <c r="V25" s="3"/>
      <c r="W25" s="3"/>
    </row>
    <row r="26" spans="1:23" ht="15.75" customHeight="1">
      <c r="A26" s="3"/>
      <c r="B26" s="160" t="s">
        <v>291</v>
      </c>
      <c r="C26" s="161">
        <f>+Print_Mois!$L$106</f>
        <v>17209.21</v>
      </c>
      <c r="D26" s="161">
        <f>+Print_Mois!$F$106</f>
        <v>0</v>
      </c>
      <c r="E26" s="161">
        <f>+Print_Mois!$Q$106</f>
        <v>0</v>
      </c>
      <c r="F26" s="162">
        <f t="shared" si="11"/>
        <v>17209.21</v>
      </c>
      <c r="G26" s="163">
        <f t="shared" si="12"/>
        <v>17209.21</v>
      </c>
      <c r="H26" s="165" t="str">
        <f t="shared" si="13"/>
        <v/>
      </c>
      <c r="I26" s="166" t="str">
        <f t="shared" si="14"/>
        <v/>
      </c>
      <c r="J26" s="1060"/>
      <c r="K26" s="3"/>
      <c r="L26" s="3"/>
      <c r="M26" s="3"/>
      <c r="N26" s="3"/>
      <c r="O26" s="3"/>
      <c r="P26" s="3"/>
      <c r="Q26" s="3"/>
      <c r="R26" s="3"/>
      <c r="S26" s="3"/>
      <c r="T26" s="3"/>
      <c r="U26" s="3"/>
      <c r="V26" s="3"/>
      <c r="W26" s="3"/>
    </row>
    <row r="27" spans="1:23" ht="15.75" customHeight="1">
      <c r="A27" s="3"/>
      <c r="B27" s="160" t="s">
        <v>292</v>
      </c>
      <c r="C27" s="161">
        <f t="shared" ref="C27:E27" si="17">+C26/C21</f>
        <v>661.8926923076923</v>
      </c>
      <c r="D27" s="161" t="e">
        <f t="shared" si="17"/>
        <v>#DIV/0!</v>
      </c>
      <c r="E27" s="161" t="e">
        <f t="shared" si="17"/>
        <v>#DIV/0!</v>
      </c>
      <c r="F27" s="162" t="str">
        <f t="shared" si="11"/>
        <v/>
      </c>
      <c r="G27" s="163" t="str">
        <f t="shared" si="12"/>
        <v/>
      </c>
      <c r="H27" s="165" t="str">
        <f t="shared" si="13"/>
        <v/>
      </c>
      <c r="I27" s="166" t="str">
        <f t="shared" si="14"/>
        <v/>
      </c>
      <c r="J27" s="1060"/>
      <c r="K27" s="3"/>
      <c r="L27" s="3"/>
      <c r="M27" s="3"/>
      <c r="N27" s="3"/>
      <c r="O27" s="3"/>
      <c r="P27" s="3"/>
      <c r="Q27" s="3"/>
      <c r="R27" s="3"/>
      <c r="S27" s="3"/>
      <c r="T27" s="3"/>
      <c r="U27" s="3"/>
      <c r="V27" s="3"/>
      <c r="W27" s="3"/>
    </row>
    <row r="28" spans="1:23" ht="15.75" customHeight="1">
      <c r="A28" s="3"/>
      <c r="B28" s="160" t="s">
        <v>293</v>
      </c>
      <c r="C28" s="161">
        <f>+Print_Mois!$L$114</f>
        <v>4107.1200000000026</v>
      </c>
      <c r="D28" s="161">
        <f>+Print_Mois!$F$114</f>
        <v>0</v>
      </c>
      <c r="E28" s="161">
        <f>+Print_Mois!$Q$114</f>
        <v>0</v>
      </c>
      <c r="F28" s="162">
        <f t="shared" si="11"/>
        <v>4107.1200000000026</v>
      </c>
      <c r="G28" s="163">
        <f t="shared" si="12"/>
        <v>4107.1200000000026</v>
      </c>
      <c r="H28" s="165" t="str">
        <f t="shared" si="13"/>
        <v/>
      </c>
      <c r="I28" s="166" t="str">
        <f t="shared" si="14"/>
        <v/>
      </c>
      <c r="J28" s="1060"/>
      <c r="K28" s="3"/>
      <c r="L28" s="3"/>
      <c r="M28" s="3"/>
      <c r="N28" s="3"/>
      <c r="O28" s="3"/>
      <c r="P28" s="3"/>
      <c r="Q28" s="3"/>
      <c r="R28" s="3"/>
      <c r="S28" s="3"/>
      <c r="T28" s="3"/>
      <c r="U28" s="3"/>
      <c r="V28" s="3"/>
      <c r="W28" s="3"/>
    </row>
    <row r="29" spans="1:23" ht="15.75" customHeight="1">
      <c r="A29" s="3"/>
      <c r="B29" s="160" t="s">
        <v>294</v>
      </c>
      <c r="C29" s="164">
        <f t="shared" ref="C29:E29" si="18">+C28/C26</f>
        <v>0.23865825334225121</v>
      </c>
      <c r="D29" s="164" t="e">
        <f t="shared" si="18"/>
        <v>#DIV/0!</v>
      </c>
      <c r="E29" s="164" t="e">
        <f t="shared" si="18"/>
        <v>#DIV/0!</v>
      </c>
      <c r="F29" s="165" t="str">
        <f t="shared" si="11"/>
        <v/>
      </c>
      <c r="G29" s="169" t="str">
        <f t="shared" si="12"/>
        <v/>
      </c>
      <c r="H29" s="165" t="str">
        <f t="shared" si="13"/>
        <v/>
      </c>
      <c r="I29" s="166" t="str">
        <f t="shared" si="14"/>
        <v/>
      </c>
      <c r="J29" s="1060"/>
      <c r="K29" s="3"/>
      <c r="L29" s="3"/>
      <c r="M29" s="3"/>
      <c r="N29" s="3"/>
      <c r="O29" s="3"/>
      <c r="P29" s="3"/>
      <c r="Q29" s="3"/>
      <c r="R29" s="3"/>
      <c r="S29" s="3"/>
      <c r="T29" s="3"/>
      <c r="U29" s="3"/>
      <c r="V29" s="3"/>
      <c r="W29" s="3"/>
    </row>
    <row r="30" spans="1:23" ht="15.75" customHeight="1">
      <c r="A30" s="3"/>
      <c r="B30" s="160" t="s">
        <v>295</v>
      </c>
      <c r="C30" s="161">
        <f>+Print_Mois!$L$123-C24-C28</f>
        <v>15525.369999999981</v>
      </c>
      <c r="D30" s="161">
        <f>+Print_Mois!$F$123-D24-D28</f>
        <v>0</v>
      </c>
      <c r="E30" s="161">
        <f>+Print_Mois!$Q$123-E24-E28</f>
        <v>0</v>
      </c>
      <c r="F30" s="162">
        <f t="shared" si="11"/>
        <v>15525.369999999981</v>
      </c>
      <c r="G30" s="163">
        <f t="shared" si="12"/>
        <v>15525.369999999981</v>
      </c>
      <c r="H30" s="165" t="str">
        <f t="shared" si="13"/>
        <v/>
      </c>
      <c r="I30" s="166" t="str">
        <f t="shared" si="14"/>
        <v/>
      </c>
      <c r="J30" s="1060"/>
      <c r="K30" s="3"/>
      <c r="L30" s="3"/>
      <c r="M30" s="3"/>
      <c r="N30" s="3"/>
      <c r="O30" s="3"/>
      <c r="P30" s="3"/>
      <c r="Q30" s="3"/>
      <c r="R30" s="3"/>
      <c r="S30" s="3"/>
      <c r="T30" s="3"/>
      <c r="U30" s="3"/>
      <c r="V30" s="3"/>
      <c r="W30" s="3"/>
    </row>
    <row r="31" spans="1:23" ht="15.75" customHeight="1">
      <c r="A31" s="3"/>
      <c r="B31" s="160" t="s">
        <v>296</v>
      </c>
      <c r="C31" s="161">
        <f t="shared" ref="C31:E31" si="19">+C30/C21</f>
        <v>597.12961538461468</v>
      </c>
      <c r="D31" s="161" t="e">
        <f t="shared" si="19"/>
        <v>#DIV/0!</v>
      </c>
      <c r="E31" s="161" t="e">
        <f t="shared" si="19"/>
        <v>#DIV/0!</v>
      </c>
      <c r="F31" s="162" t="str">
        <f t="shared" si="11"/>
        <v/>
      </c>
      <c r="G31" s="163" t="str">
        <f t="shared" si="12"/>
        <v/>
      </c>
      <c r="H31" s="165" t="str">
        <f t="shared" si="13"/>
        <v/>
      </c>
      <c r="I31" s="166" t="str">
        <f t="shared" si="14"/>
        <v/>
      </c>
      <c r="J31" s="1060"/>
      <c r="K31" s="3"/>
      <c r="L31" s="3"/>
      <c r="M31" s="3"/>
      <c r="N31" s="3"/>
      <c r="O31" s="3"/>
      <c r="P31" s="3"/>
      <c r="Q31" s="3"/>
      <c r="R31" s="3"/>
      <c r="S31" s="3"/>
      <c r="T31" s="3"/>
      <c r="U31" s="3"/>
      <c r="V31" s="3"/>
      <c r="W31" s="3"/>
    </row>
    <row r="32" spans="1:23" ht="15.75" customHeight="1">
      <c r="A32" s="3"/>
      <c r="B32" s="160" t="s">
        <v>297</v>
      </c>
      <c r="C32" s="161">
        <f>+Print_Mois!$L$164</f>
        <v>0</v>
      </c>
      <c r="D32" s="161">
        <f>+Print_Mois!$F$164</f>
        <v>0</v>
      </c>
      <c r="E32" s="161">
        <f>+Print_Mois!$Q$164</f>
        <v>0</v>
      </c>
      <c r="F32" s="162">
        <f t="shared" si="11"/>
        <v>0</v>
      </c>
      <c r="G32" s="163">
        <f t="shared" si="12"/>
        <v>0</v>
      </c>
      <c r="H32" s="165" t="str">
        <f t="shared" si="13"/>
        <v/>
      </c>
      <c r="I32" s="166" t="str">
        <f t="shared" si="14"/>
        <v/>
      </c>
      <c r="J32" s="1060"/>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60"/>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60"/>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1"/>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f>+Print_Mois!$K$268</f>
        <v>279839.94000000006</v>
      </c>
      <c r="D38" s="195">
        <f>+Print_Mois!$E$268</f>
        <v>0</v>
      </c>
      <c r="E38" s="195">
        <f>+Print_Mois!$P$268</f>
        <v>0</v>
      </c>
      <c r="F38" s="196">
        <f t="shared" ref="F38:F47" si="22">+IFERROR($C38-D38,"")</f>
        <v>279839.94000000006</v>
      </c>
      <c r="G38" s="197">
        <f t="shared" ref="G38:G47" si="23">+IFERROR($C38-E38,"")</f>
        <v>279839.94000000006</v>
      </c>
      <c r="H38" s="158" t="str">
        <f t="shared" ref="H38:H47" si="24">+IFERROR(F38/ABS($D38),"")</f>
        <v/>
      </c>
      <c r="I38" s="159" t="str">
        <f t="shared" ref="I38:I47" si="25">+IFERROR(G38/ABS($E38),"")</f>
        <v/>
      </c>
      <c r="J38" s="1059" t="s">
        <v>1090</v>
      </c>
      <c r="K38" s="3"/>
      <c r="L38" s="3"/>
      <c r="M38" s="3"/>
      <c r="N38" s="3"/>
      <c r="O38" s="3"/>
      <c r="P38" s="3"/>
      <c r="Q38" s="3"/>
      <c r="R38" s="3"/>
      <c r="S38" s="3"/>
      <c r="T38" s="3"/>
      <c r="U38" s="3"/>
      <c r="V38" s="3"/>
      <c r="W38" s="3"/>
    </row>
    <row r="39" spans="1:23" ht="15.75" customHeight="1">
      <c r="A39" s="3"/>
      <c r="B39" s="154" t="s">
        <v>302</v>
      </c>
      <c r="C39" s="195">
        <f>+Print_Mois!$L$268</f>
        <v>199546.89000000004</v>
      </c>
      <c r="D39" s="195">
        <f>+Print_Mois!$F$268</f>
        <v>0</v>
      </c>
      <c r="E39" s="195">
        <f>+Print_Mois!$Q$268</f>
        <v>0</v>
      </c>
      <c r="F39" s="196">
        <f t="shared" si="22"/>
        <v>199546.89000000004</v>
      </c>
      <c r="G39" s="197">
        <f t="shared" si="23"/>
        <v>199546.89000000004</v>
      </c>
      <c r="H39" s="198" t="str">
        <f t="shared" si="24"/>
        <v/>
      </c>
      <c r="I39" s="199" t="str">
        <f t="shared" si="25"/>
        <v/>
      </c>
      <c r="J39" s="1060"/>
      <c r="K39" s="3"/>
      <c r="L39" s="3"/>
      <c r="M39" s="3"/>
      <c r="N39" s="3"/>
      <c r="O39" s="3"/>
      <c r="P39" s="3"/>
      <c r="Q39" s="3"/>
      <c r="R39" s="3"/>
      <c r="S39" s="3"/>
      <c r="T39" s="3"/>
      <c r="U39" s="3"/>
      <c r="V39" s="3"/>
      <c r="W39" s="3"/>
    </row>
    <row r="40" spans="1:23" ht="15.75" customHeight="1">
      <c r="A40" s="3"/>
      <c r="B40" s="160" t="s">
        <v>303</v>
      </c>
      <c r="C40" s="161">
        <f>+Print_Mois!$K$246/Print_Mois!$J$246</f>
        <v>399.48867796610176</v>
      </c>
      <c r="D40" s="161" t="str">
        <f>+IFERROR(Print_Mois!$E$246/Print_Mois!$D$246,"")</f>
        <v/>
      </c>
      <c r="E40" s="161" t="e">
        <f>+Print_Mois!$P$246/Print_Mois!$O$246</f>
        <v>#DIV/0!</v>
      </c>
      <c r="F40" s="162" t="str">
        <f t="shared" si="22"/>
        <v/>
      </c>
      <c r="G40" s="163" t="str">
        <f t="shared" si="23"/>
        <v/>
      </c>
      <c r="H40" s="165" t="str">
        <f t="shared" si="24"/>
        <v/>
      </c>
      <c r="I40" s="166" t="str">
        <f t="shared" si="25"/>
        <v/>
      </c>
      <c r="J40" s="1060"/>
      <c r="K40" s="3"/>
      <c r="L40" s="3"/>
      <c r="M40" s="3"/>
      <c r="N40" s="3"/>
      <c r="O40" s="3"/>
      <c r="P40" s="3"/>
      <c r="Q40" s="3"/>
      <c r="R40" s="3"/>
      <c r="S40" s="3"/>
      <c r="T40" s="3"/>
      <c r="U40" s="3"/>
      <c r="V40" s="3"/>
      <c r="W40" s="3"/>
    </row>
    <row r="41" spans="1:23" ht="15.75" customHeight="1">
      <c r="A41" s="3"/>
      <c r="B41" s="160" t="s">
        <v>304</v>
      </c>
      <c r="C41" s="161">
        <f>+Print_Mois!$K$249/Print_Mois!$J$249</f>
        <v>142.77094444444438</v>
      </c>
      <c r="D41" s="161" t="str">
        <f>+IFERROR(Print_Mois!$E$249/Print_Mois!$D$249,"")</f>
        <v/>
      </c>
      <c r="E41" s="161" t="e">
        <f>+Print_Mois!$P$249/Print_Mois!$O$249</f>
        <v>#DIV/0!</v>
      </c>
      <c r="F41" s="162" t="str">
        <f t="shared" si="22"/>
        <v/>
      </c>
      <c r="G41" s="163" t="str">
        <f t="shared" si="23"/>
        <v/>
      </c>
      <c r="H41" s="165" t="str">
        <f t="shared" si="24"/>
        <v/>
      </c>
      <c r="I41" s="166" t="str">
        <f t="shared" si="25"/>
        <v/>
      </c>
      <c r="J41" s="1060"/>
      <c r="K41" s="3"/>
      <c r="L41" s="3"/>
      <c r="M41" s="3"/>
      <c r="N41" s="3"/>
      <c r="O41" s="3"/>
      <c r="P41" s="3"/>
      <c r="Q41" s="3"/>
      <c r="R41" s="3"/>
      <c r="S41" s="3"/>
      <c r="T41" s="3"/>
      <c r="U41" s="3"/>
      <c r="V41" s="3"/>
      <c r="W41" s="3"/>
    </row>
    <row r="42" spans="1:23" ht="15.75" customHeight="1">
      <c r="A42" s="3"/>
      <c r="B42" s="160" t="s">
        <v>305</v>
      </c>
      <c r="C42" s="161">
        <f>+Print_Mois!$L$258</f>
        <v>9.6899999999986903</v>
      </c>
      <c r="D42" s="161">
        <f>+Print_Mois!$F$258</f>
        <v>0</v>
      </c>
      <c r="E42" s="161">
        <f>+Print_Mois!$Q$258</f>
        <v>0</v>
      </c>
      <c r="F42" s="162">
        <f t="shared" si="22"/>
        <v>9.6899999999986903</v>
      </c>
      <c r="G42" s="163">
        <f t="shared" si="23"/>
        <v>9.6899999999986903</v>
      </c>
      <c r="H42" s="165" t="str">
        <f t="shared" si="24"/>
        <v/>
      </c>
      <c r="I42" s="166" t="str">
        <f t="shared" si="25"/>
        <v/>
      </c>
      <c r="J42" s="1060"/>
      <c r="K42" s="3"/>
      <c r="L42" s="3"/>
      <c r="M42" s="3"/>
      <c r="N42" s="3"/>
      <c r="O42" s="3"/>
      <c r="P42" s="3"/>
      <c r="Q42" s="3"/>
      <c r="R42" s="3"/>
      <c r="S42" s="3"/>
      <c r="T42" s="3"/>
      <c r="U42" s="3"/>
      <c r="V42" s="3"/>
      <c r="W42" s="3"/>
    </row>
    <row r="43" spans="1:23" ht="15.75" customHeight="1">
      <c r="A43" s="3"/>
      <c r="B43" s="160" t="s">
        <v>306</v>
      </c>
      <c r="C43" s="161">
        <f>+Print_Mois!$L$284</f>
        <v>109302.72</v>
      </c>
      <c r="D43" s="161">
        <f>+Print_Mois!$F$284</f>
        <v>0</v>
      </c>
      <c r="E43" s="161">
        <f>+Print_Mois!$Q$284</f>
        <v>0</v>
      </c>
      <c r="F43" s="162">
        <f t="shared" si="22"/>
        <v>109302.72</v>
      </c>
      <c r="G43" s="163">
        <f t="shared" si="23"/>
        <v>109302.72</v>
      </c>
      <c r="H43" s="165" t="str">
        <f t="shared" si="24"/>
        <v/>
      </c>
      <c r="I43" s="166" t="str">
        <f t="shared" si="25"/>
        <v/>
      </c>
      <c r="J43" s="1060"/>
      <c r="K43" s="3"/>
      <c r="L43" s="3"/>
      <c r="M43" s="3"/>
      <c r="N43" s="3"/>
      <c r="O43" s="3"/>
      <c r="P43" s="3"/>
      <c r="Q43" s="3"/>
      <c r="R43" s="3"/>
      <c r="S43" s="3"/>
      <c r="T43" s="3"/>
      <c r="U43" s="3"/>
      <c r="V43" s="3"/>
      <c r="W43" s="3"/>
    </row>
    <row r="44" spans="1:23" ht="15.75" customHeight="1">
      <c r="A44" s="3"/>
      <c r="B44" s="176" t="s">
        <v>307</v>
      </c>
      <c r="C44" s="161">
        <f>+SUM(Print_Mois!$L$272:$L$278)</f>
        <v>66162.41</v>
      </c>
      <c r="D44" s="161">
        <f>+SUM(Print_Mois!$F$272:$F$278)</f>
        <v>0</v>
      </c>
      <c r="E44" s="161">
        <f>+SUM(Print_Mois!$Q$272:$Q$278)</f>
        <v>0</v>
      </c>
      <c r="F44" s="162">
        <f t="shared" si="22"/>
        <v>66162.41</v>
      </c>
      <c r="G44" s="163">
        <f t="shared" si="23"/>
        <v>66162.41</v>
      </c>
      <c r="H44" s="165" t="str">
        <f t="shared" si="24"/>
        <v/>
      </c>
      <c r="I44" s="166" t="str">
        <f t="shared" si="25"/>
        <v/>
      </c>
      <c r="J44" s="1060"/>
      <c r="K44" s="3"/>
      <c r="L44" s="3"/>
      <c r="M44" s="3"/>
      <c r="N44" s="3"/>
      <c r="O44" s="3"/>
      <c r="P44" s="3"/>
      <c r="Q44" s="3"/>
      <c r="R44" s="3"/>
      <c r="S44" s="3"/>
      <c r="T44" s="3"/>
      <c r="U44" s="3"/>
      <c r="V44" s="3"/>
      <c r="W44" s="3"/>
    </row>
    <row r="45" spans="1:23" ht="14.4">
      <c r="A45" s="3"/>
      <c r="B45" s="176" t="s">
        <v>308</v>
      </c>
      <c r="C45" s="161">
        <f>+SUM(Print_Mois!$L$279:$L$283)</f>
        <v>43140.31</v>
      </c>
      <c r="D45" s="161">
        <f>+SUM(Print_Mois!$F$279:$F$283)</f>
        <v>0</v>
      </c>
      <c r="E45" s="161">
        <f>+SUM(Print_Mois!$Q$279:$Q$283)</f>
        <v>0</v>
      </c>
      <c r="F45" s="162">
        <f t="shared" si="22"/>
        <v>43140.31</v>
      </c>
      <c r="G45" s="163">
        <f t="shared" si="23"/>
        <v>43140.31</v>
      </c>
      <c r="H45" s="165" t="str">
        <f t="shared" si="24"/>
        <v/>
      </c>
      <c r="I45" s="166" t="str">
        <f t="shared" si="25"/>
        <v/>
      </c>
      <c r="J45" s="1060"/>
      <c r="K45" s="3"/>
      <c r="L45" s="3"/>
      <c r="M45" s="3"/>
      <c r="N45" s="3"/>
      <c r="O45" s="3"/>
      <c r="P45" s="3"/>
      <c r="Q45" s="3"/>
      <c r="R45" s="3"/>
      <c r="S45" s="3"/>
      <c r="T45" s="3"/>
      <c r="U45" s="3"/>
      <c r="V45" s="3"/>
      <c r="W45" s="3"/>
    </row>
    <row r="46" spans="1:23" ht="14.4">
      <c r="A46" s="3"/>
      <c r="B46" s="160" t="s">
        <v>309</v>
      </c>
      <c r="C46" s="164">
        <f t="shared" ref="C46:E46" si="26">+C43/C38</f>
        <v>0.39059013520371672</v>
      </c>
      <c r="D46" s="164" t="e">
        <f t="shared" si="26"/>
        <v>#DIV/0!</v>
      </c>
      <c r="E46" s="164" t="e">
        <f t="shared" si="26"/>
        <v>#DIV/0!</v>
      </c>
      <c r="F46" s="167" t="str">
        <f t="shared" si="22"/>
        <v/>
      </c>
      <c r="G46" s="168" t="str">
        <f t="shared" si="23"/>
        <v/>
      </c>
      <c r="H46" s="165" t="str">
        <f t="shared" si="24"/>
        <v/>
      </c>
      <c r="I46" s="166" t="str">
        <f t="shared" si="25"/>
        <v/>
      </c>
      <c r="J46" s="1060"/>
      <c r="K46" s="3"/>
      <c r="L46" s="3"/>
      <c r="M46" s="3"/>
      <c r="N46" s="3"/>
      <c r="O46" s="3"/>
      <c r="P46" s="3"/>
      <c r="Q46" s="3"/>
      <c r="R46" s="3"/>
      <c r="S46" s="3"/>
      <c r="T46" s="3"/>
      <c r="U46" s="3"/>
      <c r="V46" s="3"/>
      <c r="W46" s="3"/>
    </row>
    <row r="47" spans="1:23" ht="14.4">
      <c r="A47" s="3"/>
      <c r="B47" s="200" t="s">
        <v>127</v>
      </c>
      <c r="C47" s="179">
        <f>+Print_Mois!$L$287</f>
        <v>7383.7099999999991</v>
      </c>
      <c r="D47" s="179">
        <f>+Print_Mois!$F$287</f>
        <v>0</v>
      </c>
      <c r="E47" s="179">
        <f>+Print_Mois!$Q$287</f>
        <v>0</v>
      </c>
      <c r="F47" s="180">
        <f t="shared" si="22"/>
        <v>7383.7099999999991</v>
      </c>
      <c r="G47" s="181">
        <f t="shared" si="23"/>
        <v>7383.7099999999991</v>
      </c>
      <c r="H47" s="182" t="str">
        <f t="shared" si="24"/>
        <v/>
      </c>
      <c r="I47" s="183" t="str">
        <f t="shared" si="25"/>
        <v/>
      </c>
      <c r="J47" s="106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f>+Print_Mois!$J$390</f>
        <v>358499.14999999997</v>
      </c>
      <c r="D50" s="195">
        <f>+Print_Mois!$D$390</f>
        <v>0</v>
      </c>
      <c r="E50" s="195">
        <f>+Print_Mois!$O$390</f>
        <v>0</v>
      </c>
      <c r="F50" s="196">
        <f t="shared" ref="F50:F59" si="27">+IFERROR($C50-D50,"")</f>
        <v>358499.14999999997</v>
      </c>
      <c r="G50" s="197">
        <f t="shared" ref="G50:G59" si="28">+IFERROR($C50-E50,"")</f>
        <v>358499.14999999997</v>
      </c>
      <c r="H50" s="158" t="str">
        <f t="shared" ref="H50:H59" si="29">+IFERROR(F50/ABS($D50),"")</f>
        <v/>
      </c>
      <c r="I50" s="159" t="str">
        <f t="shared" ref="I50:I59" si="30">+IFERROR(G50/ABS($E50),"")</f>
        <v/>
      </c>
      <c r="J50" s="1059" t="s">
        <v>1091</v>
      </c>
      <c r="K50" s="3"/>
      <c r="L50" s="3"/>
      <c r="M50" s="3"/>
      <c r="N50" s="3"/>
      <c r="O50" s="3"/>
      <c r="P50" s="3"/>
      <c r="Q50" s="3"/>
      <c r="R50" s="3"/>
      <c r="S50" s="3"/>
      <c r="T50" s="3"/>
      <c r="U50" s="3"/>
      <c r="V50" s="3"/>
      <c r="W50" s="3"/>
    </row>
    <row r="51" spans="1:23" ht="15.75" customHeight="1">
      <c r="A51" s="3"/>
      <c r="B51" s="176" t="s">
        <v>311</v>
      </c>
      <c r="C51" s="161">
        <f>+Print_Mois!$J$371</f>
        <v>76553.770000000019</v>
      </c>
      <c r="D51" s="161">
        <f>+Print_Mois!$D$371</f>
        <v>0</v>
      </c>
      <c r="E51" s="161">
        <f>+Print_Mois!$O$371</f>
        <v>0</v>
      </c>
      <c r="F51" s="162">
        <f t="shared" si="27"/>
        <v>76553.770000000019</v>
      </c>
      <c r="G51" s="163">
        <f t="shared" si="28"/>
        <v>76553.770000000019</v>
      </c>
      <c r="H51" s="165" t="str">
        <f t="shared" si="29"/>
        <v/>
      </c>
      <c r="I51" s="166" t="str">
        <f t="shared" si="30"/>
        <v/>
      </c>
      <c r="J51" s="1060"/>
      <c r="K51" s="3"/>
      <c r="L51" s="3"/>
      <c r="M51" s="3"/>
      <c r="N51" s="3"/>
      <c r="O51" s="3"/>
      <c r="P51" s="3"/>
      <c r="Q51" s="3"/>
      <c r="R51" s="3"/>
      <c r="S51" s="3"/>
      <c r="T51" s="3"/>
      <c r="U51" s="3"/>
      <c r="V51" s="3"/>
      <c r="W51" s="3"/>
    </row>
    <row r="52" spans="1:23" ht="15.75" customHeight="1">
      <c r="A52" s="3"/>
      <c r="B52" s="176" t="s">
        <v>312</v>
      </c>
      <c r="C52" s="161">
        <f>+Print_Mois!$J$373</f>
        <v>47519.350000000035</v>
      </c>
      <c r="D52" s="161">
        <f>+Print_Mois!$D$373</f>
        <v>0</v>
      </c>
      <c r="E52" s="161">
        <f>+Print_Mois!$O$373</f>
        <v>0</v>
      </c>
      <c r="F52" s="162">
        <f t="shared" si="27"/>
        <v>47519.350000000035</v>
      </c>
      <c r="G52" s="163">
        <f t="shared" si="28"/>
        <v>47519.350000000035</v>
      </c>
      <c r="H52" s="165" t="str">
        <f t="shared" si="29"/>
        <v/>
      </c>
      <c r="I52" s="166" t="str">
        <f t="shared" si="30"/>
        <v/>
      </c>
      <c r="J52" s="1060"/>
      <c r="K52" s="3"/>
      <c r="L52" s="3"/>
      <c r="M52" s="3"/>
      <c r="N52" s="3"/>
      <c r="O52" s="3"/>
      <c r="P52" s="3"/>
      <c r="Q52" s="3"/>
      <c r="R52" s="3"/>
      <c r="S52" s="3"/>
      <c r="T52" s="3"/>
      <c r="U52" s="3"/>
      <c r="V52" s="3"/>
      <c r="W52" s="3"/>
    </row>
    <row r="53" spans="1:23" ht="15.75" customHeight="1">
      <c r="A53" s="3"/>
      <c r="B53" s="176" t="s">
        <v>313</v>
      </c>
      <c r="C53" s="161">
        <f>+Print_Mois!$J$376</f>
        <v>99855.679999999935</v>
      </c>
      <c r="D53" s="161">
        <f>+Print_Mois!$D$376</f>
        <v>0</v>
      </c>
      <c r="E53" s="161">
        <f>+Print_Mois!$O$376</f>
        <v>0</v>
      </c>
      <c r="F53" s="162">
        <f t="shared" si="27"/>
        <v>99855.679999999935</v>
      </c>
      <c r="G53" s="163">
        <f t="shared" si="28"/>
        <v>99855.679999999935</v>
      </c>
      <c r="H53" s="165" t="str">
        <f t="shared" si="29"/>
        <v/>
      </c>
      <c r="I53" s="166" t="str">
        <f t="shared" si="30"/>
        <v/>
      </c>
      <c r="J53" s="1060"/>
      <c r="K53" s="3"/>
      <c r="L53" s="3"/>
      <c r="M53" s="3"/>
      <c r="N53" s="3"/>
      <c r="O53" s="3"/>
      <c r="P53" s="3"/>
      <c r="Q53" s="3"/>
      <c r="R53" s="3"/>
      <c r="S53" s="3"/>
      <c r="T53" s="3"/>
      <c r="U53" s="3"/>
      <c r="V53" s="3"/>
      <c r="W53" s="3"/>
    </row>
    <row r="54" spans="1:23" ht="15.75" customHeight="1">
      <c r="A54" s="3"/>
      <c r="B54" s="176" t="s">
        <v>314</v>
      </c>
      <c r="C54" s="161">
        <f>+Print_Mois!$J$383</f>
        <v>45122.559999999983</v>
      </c>
      <c r="D54" s="161">
        <f>+Print_Mois!$D$383</f>
        <v>0</v>
      </c>
      <c r="E54" s="161">
        <f>+Print_Mois!$O$383</f>
        <v>0</v>
      </c>
      <c r="F54" s="162">
        <f t="shared" si="27"/>
        <v>45122.559999999983</v>
      </c>
      <c r="G54" s="163">
        <f t="shared" si="28"/>
        <v>45122.559999999983</v>
      </c>
      <c r="H54" s="165" t="str">
        <f t="shared" si="29"/>
        <v/>
      </c>
      <c r="I54" s="166" t="str">
        <f t="shared" si="30"/>
        <v/>
      </c>
      <c r="J54" s="1060"/>
      <c r="K54" s="3"/>
      <c r="L54" s="3"/>
      <c r="M54" s="3"/>
      <c r="N54" s="3"/>
      <c r="O54" s="3"/>
      <c r="P54" s="3"/>
      <c r="Q54" s="3"/>
      <c r="R54" s="3"/>
      <c r="S54" s="3"/>
      <c r="T54" s="3"/>
      <c r="U54" s="3"/>
      <c r="V54" s="3"/>
      <c r="W54" s="3"/>
    </row>
    <row r="55" spans="1:23" ht="15.75" customHeight="1">
      <c r="A55" s="3"/>
      <c r="B55" s="176" t="s">
        <v>315</v>
      </c>
      <c r="C55" s="161">
        <f t="shared" ref="C55:E55" si="31">+C50-SUM(C51:C54)</f>
        <v>89447.789999999979</v>
      </c>
      <c r="D55" s="161">
        <f t="shared" si="31"/>
        <v>0</v>
      </c>
      <c r="E55" s="161">
        <f t="shared" si="31"/>
        <v>0</v>
      </c>
      <c r="F55" s="162">
        <f t="shared" si="27"/>
        <v>89447.789999999979</v>
      </c>
      <c r="G55" s="163">
        <f t="shared" si="28"/>
        <v>89447.789999999979</v>
      </c>
      <c r="H55" s="165" t="str">
        <f t="shared" si="29"/>
        <v/>
      </c>
      <c r="I55" s="166" t="str">
        <f t="shared" si="30"/>
        <v/>
      </c>
      <c r="J55" s="1060"/>
      <c r="K55" s="3"/>
      <c r="L55" s="3"/>
      <c r="M55" s="3"/>
      <c r="N55" s="3"/>
      <c r="O55" s="3"/>
      <c r="P55" s="3"/>
      <c r="Q55" s="3"/>
      <c r="R55" s="3"/>
      <c r="S55" s="3"/>
      <c r="T55" s="3"/>
      <c r="U55" s="3"/>
      <c r="V55" s="3"/>
      <c r="W55" s="3"/>
    </row>
    <row r="56" spans="1:23" ht="15.75" customHeight="1">
      <c r="A56" s="3"/>
      <c r="B56" s="154" t="s">
        <v>302</v>
      </c>
      <c r="C56" s="195">
        <f>+Print_Mois!$L$390</f>
        <v>126231.40000000008</v>
      </c>
      <c r="D56" s="195">
        <f>+Print_Mois!$F$390</f>
        <v>0</v>
      </c>
      <c r="E56" s="195">
        <f>+Print_Mois!$Q$390</f>
        <v>0</v>
      </c>
      <c r="F56" s="196">
        <f t="shared" si="27"/>
        <v>126231.40000000008</v>
      </c>
      <c r="G56" s="197">
        <f t="shared" si="28"/>
        <v>126231.40000000008</v>
      </c>
      <c r="H56" s="198" t="str">
        <f t="shared" si="29"/>
        <v/>
      </c>
      <c r="I56" s="199" t="str">
        <f t="shared" si="30"/>
        <v/>
      </c>
      <c r="J56" s="1060"/>
      <c r="K56" s="3"/>
      <c r="L56" s="3"/>
      <c r="M56" s="3"/>
      <c r="N56" s="3"/>
      <c r="O56" s="3"/>
      <c r="P56" s="3"/>
      <c r="Q56" s="3"/>
      <c r="R56" s="3"/>
      <c r="S56" s="3"/>
      <c r="T56" s="3"/>
      <c r="U56" s="3"/>
      <c r="V56" s="3"/>
      <c r="W56" s="3"/>
    </row>
    <row r="57" spans="1:23" ht="15.75" customHeight="1">
      <c r="A57" s="3"/>
      <c r="B57" s="160" t="s">
        <v>303</v>
      </c>
      <c r="C57" s="161">
        <f>+Print_Mois!$J$371/Print_Mois!$J$246</f>
        <v>259.50430508474585</v>
      </c>
      <c r="D57" s="161" t="str">
        <f>+IFERROR(Print_Mois!$D$371/Print_Mois!$D$246,"")</f>
        <v/>
      </c>
      <c r="E57" s="161" t="e">
        <f>+Print_Mois!$O$371/Print_Mois!$O$246</f>
        <v>#DIV/0!</v>
      </c>
      <c r="F57" s="162" t="str">
        <f t="shared" si="27"/>
        <v/>
      </c>
      <c r="G57" s="163" t="str">
        <f t="shared" si="28"/>
        <v/>
      </c>
      <c r="H57" s="165" t="str">
        <f t="shared" si="29"/>
        <v/>
      </c>
      <c r="I57" s="166" t="str">
        <f t="shared" si="30"/>
        <v/>
      </c>
      <c r="J57" s="1060"/>
      <c r="K57" s="3"/>
      <c r="L57" s="3"/>
      <c r="M57" s="3"/>
      <c r="N57" s="3"/>
      <c r="O57" s="3"/>
      <c r="P57" s="3"/>
      <c r="Q57" s="3"/>
      <c r="R57" s="3"/>
      <c r="S57" s="3"/>
      <c r="T57" s="3"/>
      <c r="U57" s="3"/>
      <c r="V57" s="3"/>
      <c r="W57" s="3"/>
    </row>
    <row r="58" spans="1:23" ht="15.75" customHeight="1">
      <c r="A58" s="3"/>
      <c r="B58" s="160" t="s">
        <v>304</v>
      </c>
      <c r="C58" s="161">
        <f>+Print_Mois!$J$373/Print_Mois!$J$249</f>
        <v>131.99819444444455</v>
      </c>
      <c r="D58" s="161" t="str">
        <f>+IFERROR(Print_Mois!$D$373/Print_Mois!$D$249,"")</f>
        <v/>
      </c>
      <c r="E58" s="161" t="e">
        <f>+Print_Mois!$O$373/Print_Mois!$O$249</f>
        <v>#DIV/0!</v>
      </c>
      <c r="F58" s="162" t="str">
        <f t="shared" si="27"/>
        <v/>
      </c>
      <c r="G58" s="163" t="str">
        <f t="shared" si="28"/>
        <v/>
      </c>
      <c r="H58" s="165" t="str">
        <f t="shared" si="29"/>
        <v/>
      </c>
      <c r="I58" s="166" t="str">
        <f t="shared" si="30"/>
        <v/>
      </c>
      <c r="J58" s="1060"/>
      <c r="K58" s="3"/>
      <c r="L58" s="3"/>
      <c r="M58" s="3"/>
      <c r="N58" s="3"/>
      <c r="O58" s="3"/>
      <c r="P58" s="3"/>
      <c r="Q58" s="3"/>
      <c r="R58" s="3"/>
      <c r="S58" s="3"/>
      <c r="T58" s="3"/>
      <c r="U58" s="3"/>
      <c r="V58" s="3"/>
      <c r="W58" s="3"/>
    </row>
    <row r="59" spans="1:23" ht="15.75" customHeight="1">
      <c r="A59" s="3"/>
      <c r="B59" s="200" t="s">
        <v>118</v>
      </c>
      <c r="C59" s="179">
        <f>+Print_Mois!$L$396</f>
        <v>19707.420000000013</v>
      </c>
      <c r="D59" s="179">
        <f>+Print_Mois!$F$396</f>
        <v>0</v>
      </c>
      <c r="E59" s="179">
        <f>+Print_Mois!$Q$396</f>
        <v>0</v>
      </c>
      <c r="F59" s="180">
        <f t="shared" si="27"/>
        <v>19707.420000000013</v>
      </c>
      <c r="G59" s="181">
        <f t="shared" si="28"/>
        <v>19707.420000000013</v>
      </c>
      <c r="H59" s="182" t="str">
        <f t="shared" si="29"/>
        <v/>
      </c>
      <c r="I59" s="183" t="str">
        <f t="shared" si="30"/>
        <v/>
      </c>
      <c r="J59" s="106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f>+Print_Mois!$AF$520/Print_Mois!$AF$494</f>
        <v>0.28501204488726767</v>
      </c>
      <c r="D62" s="164" t="e">
        <f>+Print_Mois!$Z$520/Print_Mois!$Z$494</f>
        <v>#REF!</v>
      </c>
      <c r="E62" s="164" t="e">
        <f>+Print_Mois!$AL$520/Print_Mois!$AL$494</f>
        <v>#DIV/0!</v>
      </c>
      <c r="F62" s="167" t="str">
        <f t="shared" ref="F62:G67" si="32">+IFERROR($C62-D62,"")</f>
        <v/>
      </c>
      <c r="G62" s="168" t="str">
        <f t="shared" si="32"/>
        <v/>
      </c>
      <c r="H62" s="165" t="str">
        <f t="shared" ref="H62:H67" si="33">+IFERROR(F62/ABS($D62),"")</f>
        <v/>
      </c>
      <c r="I62" s="166" t="str">
        <f t="shared" ref="I62:I67" si="34">+IFERROR(G62/ABS($E62),"")</f>
        <v/>
      </c>
      <c r="J62" s="1059"/>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60"/>
      <c r="K63" s="3"/>
      <c r="L63" s="3"/>
      <c r="M63" s="3"/>
      <c r="N63" s="3"/>
      <c r="O63" s="3"/>
      <c r="P63" s="3"/>
      <c r="Q63" s="3"/>
      <c r="R63" s="3"/>
      <c r="S63" s="3"/>
      <c r="T63" s="3"/>
      <c r="U63" s="3"/>
      <c r="V63" s="3"/>
      <c r="W63" s="3"/>
    </row>
    <row r="64" spans="1:23" ht="15.75" customHeight="1">
      <c r="A64" s="3"/>
      <c r="B64" s="176" t="s">
        <v>319</v>
      </c>
      <c r="C64" s="161">
        <f>N17+Print_Mois!$AF$501+Print_Mois!$AF$521</f>
        <v>31959.93</v>
      </c>
      <c r="D64" s="161">
        <f>+Print_Mois!$Z$501+Print_Mois!$Z$521</f>
        <v>0</v>
      </c>
      <c r="E64" s="161">
        <f>+Print_Mois!$AL$501+Print_Mois!$AL$521</f>
        <v>0</v>
      </c>
      <c r="F64" s="162">
        <f t="shared" si="32"/>
        <v>31959.93</v>
      </c>
      <c r="G64" s="163">
        <f t="shared" si="32"/>
        <v>31959.93</v>
      </c>
      <c r="H64" s="165" t="str">
        <f t="shared" si="33"/>
        <v/>
      </c>
      <c r="I64" s="166" t="str">
        <f t="shared" si="34"/>
        <v/>
      </c>
      <c r="J64" s="1060"/>
      <c r="K64" s="3"/>
      <c r="L64" s="3"/>
      <c r="M64" s="3"/>
      <c r="N64" s="3"/>
      <c r="O64" s="3"/>
      <c r="P64" s="3"/>
      <c r="Q64" s="3"/>
      <c r="R64" s="3"/>
      <c r="S64" s="3"/>
      <c r="T64" s="3"/>
      <c r="U64" s="3"/>
      <c r="V64" s="3"/>
      <c r="W64" s="3"/>
    </row>
    <row r="65" spans="1:23" ht="15.75" customHeight="1">
      <c r="A65" s="3"/>
      <c r="B65" s="176" t="s">
        <v>320</v>
      </c>
      <c r="C65" s="161">
        <f>+Print_Mois!$AF$539-Print_Mois!$AF$521</f>
        <v>110575.57</v>
      </c>
      <c r="D65" s="161">
        <f>+Print_Mois!$Z$539-Print_Mois!$Z$521</f>
        <v>0</v>
      </c>
      <c r="E65" s="161">
        <f>+Print_Mois!$AL$539-Print_Mois!$AL$521</f>
        <v>0</v>
      </c>
      <c r="F65" s="162">
        <f t="shared" si="32"/>
        <v>110575.57</v>
      </c>
      <c r="G65" s="163">
        <f t="shared" si="32"/>
        <v>110575.57</v>
      </c>
      <c r="H65" s="165" t="str">
        <f t="shared" si="33"/>
        <v/>
      </c>
      <c r="I65" s="166" t="str">
        <f t="shared" si="34"/>
        <v/>
      </c>
      <c r="J65" s="1060"/>
      <c r="K65" s="3"/>
      <c r="L65" s="3"/>
      <c r="M65" s="3"/>
      <c r="N65" s="3"/>
      <c r="O65" s="3"/>
      <c r="P65" s="3"/>
      <c r="Q65" s="3"/>
      <c r="R65" s="3"/>
      <c r="S65" s="3"/>
      <c r="T65" s="3"/>
      <c r="U65" s="3"/>
      <c r="V65" s="3"/>
      <c r="W65" s="3"/>
    </row>
    <row r="66" spans="1:23" ht="15.75" customHeight="1">
      <c r="A66" s="3"/>
      <c r="B66" s="176" t="s">
        <v>321</v>
      </c>
      <c r="C66" s="161">
        <f>+Print_Mois!$AF$502</f>
        <v>58820.180000000022</v>
      </c>
      <c r="D66" s="161">
        <f>+Print_Mois!$Z$502</f>
        <v>0</v>
      </c>
      <c r="E66" s="161">
        <f>+Print_Mois!$AL$502</f>
        <v>0</v>
      </c>
      <c r="F66" s="162">
        <f t="shared" si="32"/>
        <v>58820.180000000022</v>
      </c>
      <c r="G66" s="163">
        <f t="shared" si="32"/>
        <v>58820.180000000022</v>
      </c>
      <c r="H66" s="165" t="str">
        <f t="shared" si="33"/>
        <v/>
      </c>
      <c r="I66" s="166" t="str">
        <f t="shared" si="34"/>
        <v/>
      </c>
      <c r="J66" s="1060"/>
      <c r="K66" s="3"/>
      <c r="L66" s="3"/>
      <c r="M66" s="3"/>
      <c r="N66" s="3"/>
      <c r="O66" s="3"/>
      <c r="P66" s="3"/>
      <c r="Q66" s="3"/>
      <c r="R66" s="3"/>
      <c r="S66" s="3"/>
      <c r="T66" s="3"/>
      <c r="U66" s="3"/>
      <c r="V66" s="3"/>
      <c r="W66" s="3"/>
    </row>
    <row r="67" spans="1:23" ht="14.4">
      <c r="A67" s="3"/>
      <c r="B67" s="178" t="s">
        <v>322</v>
      </c>
      <c r="C67" s="179">
        <f>+Print_Mois!$AF$568-C32-C15</f>
        <v>24410.139999999985</v>
      </c>
      <c r="D67" s="179">
        <f>+Print_Mois!$Z$568-D32-D15</f>
        <v>0</v>
      </c>
      <c r="E67" s="179">
        <f>+Print_Mois!$AL$568-E32-E15</f>
        <v>0</v>
      </c>
      <c r="F67" s="180">
        <f t="shared" si="32"/>
        <v>24410.139999999985</v>
      </c>
      <c r="G67" s="181">
        <f t="shared" si="32"/>
        <v>24410.139999999985</v>
      </c>
      <c r="H67" s="182" t="str">
        <f t="shared" si="33"/>
        <v/>
      </c>
      <c r="I67" s="183" t="str">
        <f t="shared" si="34"/>
        <v/>
      </c>
      <c r="J67" s="106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f>+Print_Mois!$AF$506-Print_Mois!$AF$502+Print_Mois!$AF$521+Print_Mois!$AF$522+Print_Mois!$AF$523</f>
        <v>-290363.18</v>
      </c>
      <c r="D70" s="161">
        <f>+Print_Mois!$Z$506-Print_Mois!$Z$502+Print_Mois!$Z$521+Print_Mois!$Z$522+Print_Mois!$Z$523</f>
        <v>0</v>
      </c>
      <c r="E70" s="161">
        <f>+Print_Mois!$AL$506-Print_Mois!$AL$502+Print_Mois!$AL$521+Print_Mois!$AL$522+Print_Mois!$AL$523</f>
        <v>0</v>
      </c>
      <c r="F70" s="220">
        <f t="shared" ref="F70:G77" si="35">+IFERROR($C70-D70,"")</f>
        <v>-290363.18</v>
      </c>
      <c r="G70" s="221">
        <f t="shared" si="35"/>
        <v>-290363.18</v>
      </c>
      <c r="H70" s="165" t="str">
        <f t="shared" ref="H70:H77" si="36">+IFERROR(F70/ABS($D70),"")</f>
        <v/>
      </c>
      <c r="I70" s="166" t="str">
        <f t="shared" ref="I70:I77" si="37">+IFERROR(G70/ABS($E70),"")</f>
        <v/>
      </c>
      <c r="J70" s="1059" t="s">
        <v>1092</v>
      </c>
      <c r="K70" s="3"/>
      <c r="L70" s="3"/>
      <c r="M70" s="3"/>
      <c r="N70" s="3"/>
      <c r="O70" s="3"/>
      <c r="P70" s="3"/>
      <c r="Q70" s="3"/>
      <c r="R70" s="3"/>
      <c r="S70" s="3"/>
      <c r="T70" s="3"/>
      <c r="U70" s="3"/>
      <c r="V70" s="3"/>
      <c r="W70" s="3"/>
    </row>
    <row r="71" spans="1:23" ht="15.75" customHeight="1">
      <c r="A71" s="3"/>
      <c r="B71" s="176" t="s">
        <v>325</v>
      </c>
      <c r="C71" s="164">
        <f>+C70/Print_Mois!$AF$494</f>
        <v>-0.3183469811211011</v>
      </c>
      <c r="D71" s="164" t="e">
        <f>+D70/Print_Mois!$Z$494</f>
        <v>#REF!</v>
      </c>
      <c r="E71" s="164" t="e">
        <f>+E70/Print_Mois!$AL$494</f>
        <v>#DIV/0!</v>
      </c>
      <c r="F71" s="167" t="str">
        <f t="shared" si="35"/>
        <v/>
      </c>
      <c r="G71" s="168" t="str">
        <f t="shared" si="35"/>
        <v/>
      </c>
      <c r="H71" s="165" t="str">
        <f t="shared" si="36"/>
        <v/>
      </c>
      <c r="I71" s="166" t="str">
        <f t="shared" si="37"/>
        <v/>
      </c>
      <c r="J71" s="1060"/>
      <c r="K71" s="3"/>
      <c r="L71" s="3"/>
      <c r="M71" s="3"/>
      <c r="N71" s="3"/>
      <c r="O71" s="3"/>
      <c r="P71" s="3"/>
      <c r="Q71" s="3"/>
      <c r="R71" s="3"/>
      <c r="S71" s="3"/>
      <c r="T71" s="3"/>
      <c r="U71" s="3"/>
      <c r="V71" s="3"/>
      <c r="W71" s="3"/>
    </row>
    <row r="72" spans="1:23" ht="15.75" customHeight="1">
      <c r="A72" s="3"/>
      <c r="B72" s="176" t="s">
        <v>326</v>
      </c>
      <c r="C72" s="161">
        <f>+Print_Mois!$AF$553+Print_Mois!$AF$520+Print_Mois!$AF$524+Print_Mois!$AF$526+SUM(Print_Mois!$AF$527:$AF$535)+Print_Mois!$AF$525</f>
        <v>545363.8600000001</v>
      </c>
      <c r="D72" s="161">
        <f>+Print_Mois!$Z$553+Print_Mois!$Z$520+Print_Mois!$Z$524+Print_Mois!$Z$526+SUM(Print_Mois!$Z$527:$Z$535)+Print_Mois!$Z$525</f>
        <v>0</v>
      </c>
      <c r="E72" s="161">
        <f>+Print_Mois!$AL$553+Print_Mois!$AL$520+Print_Mois!$AL$524+Print_Mois!$AL$526+SUM(Print_Mois!$AL$527:$AL$535)+Print_Mois!$AL$525</f>
        <v>0</v>
      </c>
      <c r="F72" s="162">
        <f t="shared" si="35"/>
        <v>545363.8600000001</v>
      </c>
      <c r="G72" s="163">
        <f t="shared" si="35"/>
        <v>545363.8600000001</v>
      </c>
      <c r="H72" s="165" t="str">
        <f t="shared" si="36"/>
        <v/>
      </c>
      <c r="I72" s="166" t="str">
        <f t="shared" si="37"/>
        <v/>
      </c>
      <c r="J72" s="1060"/>
      <c r="K72" s="3"/>
      <c r="L72" s="3"/>
      <c r="M72" s="3"/>
      <c r="N72" s="3"/>
      <c r="O72" s="3"/>
      <c r="P72" s="3"/>
      <c r="Q72" s="3"/>
      <c r="R72" s="3"/>
      <c r="S72" s="3"/>
      <c r="T72" s="3"/>
      <c r="U72" s="3"/>
      <c r="V72" s="3"/>
      <c r="W72" s="3"/>
    </row>
    <row r="73" spans="1:23" ht="15.75" customHeight="1">
      <c r="A73" s="3"/>
      <c r="B73" s="176" t="s">
        <v>327</v>
      </c>
      <c r="C73" s="164">
        <f>+C72/Print_Mois!$AF$494</f>
        <v>0.59792339525814142</v>
      </c>
      <c r="D73" s="164" t="e">
        <f>+D72/Print_Mois!$Z$494</f>
        <v>#REF!</v>
      </c>
      <c r="E73" s="164" t="e">
        <f>+E72/Print_Mois!$AL$494</f>
        <v>#DIV/0!</v>
      </c>
      <c r="F73" s="167" t="str">
        <f t="shared" si="35"/>
        <v/>
      </c>
      <c r="G73" s="168" t="str">
        <f t="shared" si="35"/>
        <v/>
      </c>
      <c r="H73" s="165" t="str">
        <f t="shared" si="36"/>
        <v/>
      </c>
      <c r="I73" s="166" t="str">
        <f t="shared" si="37"/>
        <v/>
      </c>
      <c r="J73" s="1060"/>
      <c r="K73" s="3"/>
      <c r="L73" s="3"/>
      <c r="M73" s="3"/>
      <c r="N73" s="3"/>
      <c r="O73" s="3"/>
      <c r="P73" s="3"/>
      <c r="Q73" s="3"/>
      <c r="R73" s="3"/>
      <c r="S73" s="3"/>
      <c r="T73" s="3"/>
      <c r="U73" s="3"/>
      <c r="V73" s="3"/>
      <c r="W73" s="3"/>
    </row>
    <row r="74" spans="1:23" ht="15.75" customHeight="1">
      <c r="A74" s="1"/>
      <c r="B74" s="206" t="s">
        <v>328</v>
      </c>
      <c r="C74" s="195">
        <f>+Print_Mois!$AF$570+Print_Mois!$AF$502</f>
        <v>735910.94999999471</v>
      </c>
      <c r="D74" s="195" t="e">
        <f>+Print_Mois!$Z$570+Print_Mois!$Z$502</f>
        <v>#REF!</v>
      </c>
      <c r="E74" s="195">
        <f>+Print_Mois!$AL$570+Print_Mois!$AL$502</f>
        <v>0</v>
      </c>
      <c r="F74" s="196" t="str">
        <f t="shared" si="35"/>
        <v/>
      </c>
      <c r="G74" s="197">
        <f t="shared" si="35"/>
        <v>735910.94999999471</v>
      </c>
      <c r="H74" s="198" t="str">
        <f t="shared" si="36"/>
        <v/>
      </c>
      <c r="I74" s="199" t="str">
        <f t="shared" si="37"/>
        <v/>
      </c>
      <c r="J74" s="1060"/>
      <c r="K74" s="1"/>
      <c r="L74" s="1"/>
      <c r="M74" s="1"/>
      <c r="N74" s="1"/>
      <c r="O74" s="1"/>
      <c r="P74" s="1"/>
      <c r="Q74" s="1"/>
      <c r="R74" s="1"/>
      <c r="S74" s="1"/>
      <c r="T74" s="1"/>
      <c r="U74" s="1"/>
      <c r="V74" s="1"/>
      <c r="W74" s="1"/>
    </row>
    <row r="75" spans="1:23" ht="15.75" customHeight="1">
      <c r="A75" s="3"/>
      <c r="B75" s="160" t="s">
        <v>329</v>
      </c>
      <c r="C75" s="222">
        <f>+C74/Print_Mois!$AF$493</f>
        <v>3.5505446999718047E-2</v>
      </c>
      <c r="D75" s="222" t="e">
        <f>+D74/Print_Mois!$Z$493</f>
        <v>#REF!</v>
      </c>
      <c r="E75" s="222" t="e">
        <f>+E74/Print_Mois!$AL$493</f>
        <v>#DIV/0!</v>
      </c>
      <c r="F75" s="167" t="str">
        <f t="shared" si="35"/>
        <v/>
      </c>
      <c r="G75" s="168" t="str">
        <f t="shared" si="35"/>
        <v/>
      </c>
      <c r="H75" s="165" t="str">
        <f t="shared" si="36"/>
        <v/>
      </c>
      <c r="I75" s="166" t="str">
        <f t="shared" si="37"/>
        <v/>
      </c>
      <c r="J75" s="1060"/>
      <c r="K75" s="3"/>
      <c r="L75" s="3"/>
      <c r="M75" s="3"/>
      <c r="N75" s="3"/>
      <c r="O75" s="3"/>
      <c r="P75" s="3"/>
      <c r="Q75" s="3"/>
      <c r="R75" s="3"/>
      <c r="S75" s="3"/>
      <c r="T75" s="3"/>
      <c r="U75" s="3"/>
      <c r="V75" s="3"/>
      <c r="W75" s="3"/>
    </row>
    <row r="76" spans="1:23" ht="15.75" customHeight="1">
      <c r="A76" s="1"/>
      <c r="B76" s="206" t="s">
        <v>330</v>
      </c>
      <c r="C76" s="195">
        <f>N9+Print_Mois!$AF$585</f>
        <v>666283.34999999462</v>
      </c>
      <c r="D76" s="195" t="e">
        <f>+Print_Mois!$Z$585</f>
        <v>#REF!</v>
      </c>
      <c r="E76" s="195">
        <f>+Print_Mois!$AL$585</f>
        <v>0</v>
      </c>
      <c r="F76" s="196" t="str">
        <f t="shared" si="35"/>
        <v/>
      </c>
      <c r="G76" s="197">
        <f t="shared" si="35"/>
        <v>666283.34999999462</v>
      </c>
      <c r="H76" s="198" t="str">
        <f t="shared" si="36"/>
        <v/>
      </c>
      <c r="I76" s="199" t="str">
        <f t="shared" si="37"/>
        <v/>
      </c>
      <c r="J76" s="1060"/>
      <c r="K76" s="1"/>
      <c r="L76" s="1"/>
      <c r="M76" s="1"/>
      <c r="N76" s="1"/>
      <c r="O76" s="1"/>
      <c r="P76" s="1"/>
      <c r="Q76" s="1"/>
      <c r="R76" s="1"/>
      <c r="S76" s="1"/>
      <c r="T76" s="1"/>
      <c r="U76" s="1"/>
      <c r="V76" s="1"/>
      <c r="W76" s="1"/>
    </row>
    <row r="77" spans="1:23" ht="15.75" customHeight="1">
      <c r="A77" s="3"/>
      <c r="B77" s="178" t="s">
        <v>331</v>
      </c>
      <c r="C77" s="223">
        <f>+C76/Print_Mois!$AF$493</f>
        <v>3.2146128781233067E-2</v>
      </c>
      <c r="D77" s="223" t="e">
        <f>+D76/Print_Mois!$Z$493</f>
        <v>#REF!</v>
      </c>
      <c r="E77" s="223" t="e">
        <f>+E76/Print_Mois!$AL$493</f>
        <v>#DIV/0!</v>
      </c>
      <c r="F77" s="224" t="str">
        <f t="shared" si="35"/>
        <v/>
      </c>
      <c r="G77" s="225" t="str">
        <f t="shared" si="35"/>
        <v/>
      </c>
      <c r="H77" s="182" t="str">
        <f t="shared" si="36"/>
        <v/>
      </c>
      <c r="I77" s="183" t="str">
        <f t="shared" si="37"/>
        <v/>
      </c>
      <c r="J77" s="106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f>+C74-C80</f>
        <v>676385.94999999471</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f>+C76-C83</f>
        <v>689805.34999999462</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Octobre 2025</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Octobre 2025</v>
      </c>
      <c r="C87" s="671">
        <f>+C76</f>
        <v>666283.34999999462</v>
      </c>
      <c r="D87" s="662">
        <f>+Print_AAD!AF585</f>
        <v>3736163.2400000044</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Octobre 2025</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Octobre 2024</v>
      </c>
      <c r="C89" s="675">
        <f>+E76</f>
        <v>0</v>
      </c>
      <c r="D89" s="665">
        <f>+Print_AAD!AL585</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abSelected="1" topLeftCell="Q468" zoomScale="80" zoomScaleNormal="80" workbookViewId="0">
      <selection activeCell="Q468" sqref="A1:XFD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Octobre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f>-SUMIFS(BV_Data_An_Cour!$AM:$AM,BV_Data_An_Cour!$AS:$AS,"Oui",BV_Data_An_Cour!$AP:$AP,$B5)</f>
        <v>14042130.179999996</v>
      </c>
      <c r="M5" s="242"/>
      <c r="N5" s="952"/>
      <c r="O5" s="238"/>
      <c r="P5" s="951"/>
      <c r="Q5" s="286">
        <f>-SUMIFS(BV_Data_An_Prec!$AM:$AM,BV_Data_An_Prec!$AS:$AS,"Oui",BV_Data_An_Prec!$AP:$AP,$B5)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f>SUMIFS(BV_Data_An_Cour!$AW:$AW,BV_Data_An_Cour!$AP:$AP,$B6,BV_Data_An_Cour!$AQ:$AQ,$C6,BV_Data_An_Cour!$AY:$AY,J$2)</f>
        <v>2</v>
      </c>
      <c r="K6" s="281">
        <f t="shared" ref="K6:K12" si="0">IF(J6=0,0,L6/J6)</f>
        <v>10129.39499999996</v>
      </c>
      <c r="L6" s="266">
        <f>-SUMIFS(BV_Data_An_Cour!$AM:$AM,BV_Data_An_Cour!$AP:$AP,$B6,BV_Data_An_Cour!$AQ:$AQ,$C6,BV_Data_An_Cour!$AR:$AR,L$2)</f>
        <v>20258.789999999921</v>
      </c>
      <c r="M6" s="245">
        <f t="shared" ref="M6:M12" si="1">J6-D6</f>
        <v>2</v>
      </c>
      <c r="N6" s="246">
        <f t="shared" ref="N6:N12" si="2">L6-F6</f>
        <v>20258.789999999921</v>
      </c>
      <c r="O6" s="245">
        <f>SUMIFS(BV_Data_An_Prec!$AW:$AW,BV_Data_An_Prec!$AP:$AP,$B6,BV_Data_An_Prec!$AQ:$AQ,$C6,BV_Data_An_Prec!$AY:$AY,O$2)</f>
        <v>0</v>
      </c>
      <c r="P6" s="281">
        <f t="shared" ref="P6:P12" si="3">IF(O6=0,0,Q6/O6)</f>
        <v>0</v>
      </c>
      <c r="Q6" s="266">
        <f>-SUMIFS(BV_Data_An_Prec!$AM:$AM,BV_Data_An_Prec!$AP:$AP,$B6,BV_Data_An_Prec!$AQ:$AQ,$C6,BV_Data_An_Prec!$AR:$AR,Q$2)</f>
        <v>0</v>
      </c>
      <c r="R6" s="245">
        <f>J6-O6</f>
        <v>2</v>
      </c>
      <c r="S6" s="266">
        <f>L6-Q6</f>
        <v>20258.789999999921</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f>SUMIFS(BV_Data_An_Cour!$AW:$AW,BV_Data_An_Cour!$AP:$AP,$B7,BV_Data_An_Cour!$AQ:$AQ,$C7,BV_Data_An_Cour!$AY:$AY,J$2)</f>
        <v>50</v>
      </c>
      <c r="K7" s="281">
        <f t="shared" si="0"/>
        <v>2790.7035999999848</v>
      </c>
      <c r="L7" s="266">
        <f>-SUMIFS(BV_Data_An_Cour!$AM:$AM,BV_Data_An_Cour!$AP:$AP,$B7,BV_Data_An_Cour!$AQ:$AQ,$C7,BV_Data_An_Cour!$AR:$AR,L$2)</f>
        <v>139535.17999999924</v>
      </c>
      <c r="M7" s="245">
        <f t="shared" si="1"/>
        <v>50</v>
      </c>
      <c r="N7" s="246">
        <f t="shared" si="2"/>
        <v>139535.17999999924</v>
      </c>
      <c r="O7" s="245">
        <f>SUMIFS(BV_Data_An_Prec!$AW:$AW,BV_Data_An_Prec!$AP:$AP,$B7,BV_Data_An_Prec!$AQ:$AQ,$C7,BV_Data_An_Prec!$AY:$AY,O$2)</f>
        <v>0</v>
      </c>
      <c r="P7" s="281">
        <f t="shared" si="3"/>
        <v>0</v>
      </c>
      <c r="Q7" s="266">
        <f>-SUMIFS(BV_Data_An_Prec!$AM:$AM,BV_Data_An_Prec!$AP:$AP,$B7,BV_Data_An_Prec!$AQ:$AQ,$C7,BV_Data_An_Prec!$AR:$AR,Q$2)</f>
        <v>0</v>
      </c>
      <c r="R7" s="245">
        <f>J7-O7</f>
        <v>50</v>
      </c>
      <c r="S7" s="266">
        <f>L7-Q7</f>
        <v>139535.17999999924</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3128</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f>SUMIFS(BV_Data_An_Cour!$AW:$AW,BV_Data_An_Cour!$AP:$AP,$B9,BV_Data_An_Cour!$AQ:$AQ,$C9,BV_Data_An_Cour!$AY:$AY,J$2)</f>
        <v>11</v>
      </c>
      <c r="K9" s="281">
        <f t="shared" si="0"/>
        <v>1686.158181818181</v>
      </c>
      <c r="L9" s="266">
        <f>-SUMIFS(BV_Data_An_Cour!$AM:$AM,BV_Data_An_Cour!$AP:$AP,$B9,BV_Data_An_Cour!$AQ:$AQ,$C9,BV_Data_An_Cour!$AR:$AR,L$2)</f>
        <v>18547.739999999991</v>
      </c>
      <c r="M9" s="245">
        <f t="shared" si="1"/>
        <v>11</v>
      </c>
      <c r="N9" s="246">
        <f t="shared" si="2"/>
        <v>18547.739999999991</v>
      </c>
      <c r="O9" s="245">
        <f>SUMIFS(BV_Data_An_Prec!$AW:$AW,BV_Data_An_Prec!$AP:$AP,$B9,BV_Data_An_Prec!$AQ:$AQ,$C9,BV_Data_An_Prec!$AY:$AY,O$2)</f>
        <v>0</v>
      </c>
      <c r="P9" s="281">
        <f t="shared" si="3"/>
        <v>0</v>
      </c>
      <c r="Q9" s="266">
        <f>-SUMIFS(BV_Data_An_Prec!$AM:$AM,BV_Data_An_Prec!$AP:$AP,$B9,BV_Data_An_Prec!$AQ:$AQ,$C9,BV_Data_An_Prec!$AR:$AR,Q$2)</f>
        <v>0</v>
      </c>
      <c r="R9" s="245">
        <f>J9-O9</f>
        <v>11</v>
      </c>
      <c r="S9" s="266">
        <f t="shared" ref="S9:S12" si="5">L9-Q9</f>
        <v>18547.739999999991</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f>+SUM(J6:J12)</f>
        <v>63</v>
      </c>
      <c r="K13" s="355">
        <f>IF(J13&lt;=0,0,L13/J13)</f>
        <v>2830.8207936507802</v>
      </c>
      <c r="L13" s="356">
        <f>+SUM(L6:L12)</f>
        <v>178341.70999999915</v>
      </c>
      <c r="M13" s="252">
        <f>+SUM(M6:M12)</f>
        <v>63</v>
      </c>
      <c r="N13" s="251">
        <f>+SUM(N6:N12)</f>
        <v>178341.70999999915</v>
      </c>
      <c r="O13" s="252">
        <f>+SUM(O6:O12)</f>
        <v>0</v>
      </c>
      <c r="P13" s="355">
        <f>IF(O13&lt;=0,0,Q13/O13)</f>
        <v>0</v>
      </c>
      <c r="Q13" s="356">
        <f>+SUM(Q6:Q12)</f>
        <v>0</v>
      </c>
      <c r="R13" s="252">
        <f>+SUM(R6:R12)</f>
        <v>63</v>
      </c>
      <c r="S13" s="356">
        <f>+SUM(S6:S12)</f>
        <v>178341.70999999915</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f>SUMIFS(BV_Data_An_Cour!$AW:$AW,BV_Data_An_Cour!$AP:$AP,$B17,BV_Data_An_Cour!$AQ:$AQ,$C17,BV_Data_An_Cour!$AY:$AY,J$2)</f>
        <v>150</v>
      </c>
      <c r="K17" s="281">
        <f>IF(J17=0,0,L17/J17)</f>
        <v>687.47826666663093</v>
      </c>
      <c r="L17" s="266">
        <f>-SUMIFS(BV_Data_An_Cour!$AM:$AM,BV_Data_An_Cour!$AP:$AP,$B17,BV_Data_An_Cour!$AQ:$AQ,$C17,BV_Data_An_Cour!$AR:$AR,L$2)</f>
        <v>103121.73999999464</v>
      </c>
      <c r="M17" s="257">
        <f>J17-D17</f>
        <v>150</v>
      </c>
      <c r="N17" s="246">
        <f>L17-F17</f>
        <v>103121.73999999464</v>
      </c>
      <c r="O17" s="257">
        <f>SUMIFS(BV_Data_An_Prec!$AW:$AW,BV_Data_An_Prec!$AP:$AP,$B17,BV_Data_An_Prec!$AQ:$AQ,$C17,BV_Data_An_Prec!$AY:$AY,O$2)</f>
        <v>0</v>
      </c>
      <c r="P17" s="281">
        <f>IF(O17=0,0,Q17/O17)</f>
        <v>0</v>
      </c>
      <c r="Q17" s="266">
        <f>-SUMIFS(BV_Data_An_Prec!$AM:$AM,BV_Data_An_Prec!$AP:$AP,$B17,BV_Data_An_Prec!$AQ:$AQ,$C17,BV_Data_An_Prec!$AR:$AR,Q$2)</f>
        <v>0</v>
      </c>
      <c r="R17" s="245">
        <f>J17-O17</f>
        <v>150</v>
      </c>
      <c r="S17" s="266">
        <f>L17-Q17</f>
        <v>103121.73999999464</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f>IF(J13=0,0,L21/(J13+J15))</f>
        <v>17.169841269841282</v>
      </c>
      <c r="L21" s="266">
        <f>-SUMIFS(BV_Data_An_Cour!$AM:$AM,BV_Data_An_Cour!$AP:$AP,$B21,BV_Data_An_Cour!$AQ:$AQ,$C21,BV_Data_An_Cour!$AR:$AR,L$2)</f>
        <v>1081.7000000000007</v>
      </c>
      <c r="M21" s="245"/>
      <c r="N21" s="246">
        <f>L21-F21</f>
        <v>1081.7000000000007</v>
      </c>
      <c r="O21" s="245"/>
      <c r="P21" s="281">
        <f>IF(O13=0,0,Q21/(O13+O15))</f>
        <v>0</v>
      </c>
      <c r="Q21" s="266">
        <f>-SUMIFS(BV_Data_An_Prec!$AM:$AM,BV_Data_An_Prec!$AP:$AP,$B21,BV_Data_An_Prec!$AQ:$AQ,$C21,BV_Data_An_Prec!$AR:$AR,Q$2)</f>
        <v>0</v>
      </c>
      <c r="R21" s="267">
        <f>P21-K21</f>
        <v>-17.169841269841282</v>
      </c>
      <c r="S21" s="266">
        <f t="shared" ref="S21:S23" si="7">L21-Q21</f>
        <v>1081.7000000000007</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f>IF(J13=0,0,L22/(J13+J15))</f>
        <v>769.3165079365084</v>
      </c>
      <c r="L22" s="266">
        <f>-SUMIFS(BV_Data_An_Cour!$AM:$AM,BV_Data_An_Cour!$AP:$AP,$B22,BV_Data_An_Cour!$AQ:$AQ,$C22,BV_Data_An_Cour!$AR:$AR,L$2)</f>
        <v>48466.940000000031</v>
      </c>
      <c r="M22" s="245"/>
      <c r="N22" s="246">
        <f>L22-F22</f>
        <v>48466.940000000031</v>
      </c>
      <c r="O22" s="245"/>
      <c r="P22" s="281">
        <f>IF(O13=0,0,Q22/(O13+O15))</f>
        <v>0</v>
      </c>
      <c r="Q22" s="266">
        <f>-SUMIFS(BV_Data_An_Prec!$AM:$AM,BV_Data_An_Prec!$AP:$AP,$B22,BV_Data_An_Prec!$AQ:$AQ,$C22,BV_Data_An_Prec!$AR:$AR,Q$2)</f>
        <v>0</v>
      </c>
      <c r="R22" s="267">
        <f t="shared" ref="R22:R23" si="8">P22-K22</f>
        <v>-769.3165079365084</v>
      </c>
      <c r="S22" s="266">
        <f t="shared" si="7"/>
        <v>48466.940000000031</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f>IF(J13=0,0,L23/(J13+J15))</f>
        <v>39.486031746031756</v>
      </c>
      <c r="L23" s="266">
        <f>-SUMIFS(BV_Data_An_Cour!$AM:$AM,BV_Data_An_Cour!$AP:$AP,$B23,BV_Data_An_Cour!$AQ:$AQ,$C23,BV_Data_An_Cour!$AR:$AR,L$2)</f>
        <v>2487.6200000000008</v>
      </c>
      <c r="M23" s="257"/>
      <c r="N23" s="246">
        <f>L23-F23</f>
        <v>2487.6200000000008</v>
      </c>
      <c r="O23" s="245"/>
      <c r="P23" s="281">
        <f>IF(O13=0,0,Q23/(O13+O15))</f>
        <v>0</v>
      </c>
      <c r="Q23" s="266">
        <f>-SUMIFS(BV_Data_An_Prec!$AM:$AM,BV_Data_An_Prec!$AP:$AP,$B23,BV_Data_An_Prec!$AQ:$AQ,$C23,BV_Data_An_Prec!$AR:$AR,Q$2)</f>
        <v>0</v>
      </c>
      <c r="R23" s="267">
        <f t="shared" si="8"/>
        <v>-39.486031746031756</v>
      </c>
      <c r="S23" s="266">
        <f t="shared" si="7"/>
        <v>2487.6200000000008</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f>+J15+J13</f>
        <v>63</v>
      </c>
      <c r="K24" s="355">
        <f>IF(J24&lt;=0,0,L24/J24)</f>
        <v>825.9723809523814</v>
      </c>
      <c r="L24" s="356">
        <f>L21+L22+L23</f>
        <v>52036.260000000031</v>
      </c>
      <c r="M24" s="265">
        <f>J24-D24</f>
        <v>63</v>
      </c>
      <c r="N24" s="251">
        <f>L24-F24</f>
        <v>52036.260000000031</v>
      </c>
      <c r="O24" s="252">
        <f>+O15+O13</f>
        <v>0</v>
      </c>
      <c r="P24" s="355">
        <f>IF(O24&lt;=0,0,Q24/O24)</f>
        <v>0</v>
      </c>
      <c r="Q24" s="356">
        <f>Q21+Q22+Q23</f>
        <v>0</v>
      </c>
      <c r="R24" s="337">
        <f>P24-K24</f>
        <v>-825.9723809523814</v>
      </c>
      <c r="S24" s="356">
        <f>L24-Q24</f>
        <v>52036.260000000031</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f>+J13+J15+J17</f>
        <v>213</v>
      </c>
      <c r="K27" s="269">
        <f>IF(J27&lt;=0,0,L27/J27)</f>
        <v>1565.7263380281399</v>
      </c>
      <c r="L27" s="271">
        <f>L13+L17+L24+L19+L15</f>
        <v>333499.70999999379</v>
      </c>
      <c r="M27" s="272">
        <f>J27-D27</f>
        <v>213</v>
      </c>
      <c r="N27" s="271">
        <f>L27-F27</f>
        <v>333499.70999999379</v>
      </c>
      <c r="O27" s="272">
        <f>+O13+O15+O17</f>
        <v>0</v>
      </c>
      <c r="P27" s="269">
        <f>IF(O27&lt;=0,0,Q27/O27)</f>
        <v>0</v>
      </c>
      <c r="Q27" s="271">
        <f>Q13+Q17+Q24+Q19+Q15</f>
        <v>0</v>
      </c>
      <c r="R27" s="272">
        <f>J27-O27</f>
        <v>213</v>
      </c>
      <c r="S27" s="271">
        <f>L27-Q27</f>
        <v>333499.70999999379</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f>L31/(L15+L13+L17)</f>
        <v>0.22399746752198704</v>
      </c>
      <c r="K31" s="281">
        <f>IF(L31=0,0,L31/J$24)</f>
        <v>1000.7476190476197</v>
      </c>
      <c r="L31" s="266">
        <f>SUMIFS(BV_Data_An_Cour!$AM:$AM,BV_Data_An_Cour!$AP:$AP,$B31,BV_Data_An_Cour!$AQ:$AQ,$C31,BV_Data_An_Cour!$AR:$AR,L$2)</f>
        <v>63047.100000000035</v>
      </c>
      <c r="M31" s="243"/>
      <c r="N31" s="266">
        <f t="shared" ref="N31:N53" si="10">L31-F31</f>
        <v>63047.100000000035</v>
      </c>
      <c r="O31" s="282" t="e">
        <f>Q31/(Q15+Q13+Q17)</f>
        <v>#DIV/0!</v>
      </c>
      <c r="P31" s="281">
        <f>IF(Q31=0,0,Q31/O$24)</f>
        <v>0</v>
      </c>
      <c r="Q31" s="266">
        <f>SUMIFS(BV_Data_An_Prec!$AM:$AM,BV_Data_An_Prec!$AP:$AP,$B31,BV_Data_An_Prec!$AQ:$AQ,$C31,BV_Data_An_Prec!$AR:$AR,Q$2)</f>
        <v>0</v>
      </c>
      <c r="R31" s="243"/>
      <c r="S31" s="266">
        <f>L31-Q31</f>
        <v>63047.100000000035</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f>L32/L24</f>
        <v>0.16774783583601119</v>
      </c>
      <c r="K32" s="284">
        <f t="shared" ref="K32:K39" si="11">IF(L32=0,0,L32/J$24)</f>
        <v>138.55507936507939</v>
      </c>
      <c r="L32" s="266">
        <f>SUMIFS(BV_Data_An_Cour!$AM:$AM,BV_Data_An_Cour!$AP:$AP,$B32,BV_Data_An_Cour!$AQ:$AQ,$C32,BV_Data_An_Cour!$AR:$AR,L$2)</f>
        <v>8728.9700000000012</v>
      </c>
      <c r="M32" s="238"/>
      <c r="N32" s="286">
        <f t="shared" si="10"/>
        <v>8728.9700000000012</v>
      </c>
      <c r="O32" s="285" t="e">
        <f>Q32/Q24</f>
        <v>#DIV/0!</v>
      </c>
      <c r="P32" s="284">
        <f t="shared" ref="P32:P39" si="12">IF(Q32=0,0,Q32/O$24)</f>
        <v>0</v>
      </c>
      <c r="Q32" s="286">
        <f>SUMIFS(BV_Data_An_Prec!$AM:$AM,BV_Data_An_Prec!$AP:$AP,$B32,BV_Data_An_Prec!$AQ:$AQ,$C32,BV_Data_An_Prec!$AR:$AR,Q$2)</f>
        <v>0</v>
      </c>
      <c r="R32" s="238"/>
      <c r="S32" s="286">
        <f t="shared" ref="S32:S39" si="13">L32-Q32</f>
        <v>8728.9700000000012</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f t="shared" si="11"/>
        <v>-134.93730158730165</v>
      </c>
      <c r="L33" s="954">
        <f>SUMIFS(BV_Data_An_Cour!$AM:$AM,BV_Data_An_Cour!$AP:$AP,$B33,BV_Data_An_Cour!$AQ:$AQ,$C33,BV_Data_An_Cour!$AR:$AR,L$2)</f>
        <v>-8501.0500000000029</v>
      </c>
      <c r="M33" s="243"/>
      <c r="N33" s="266">
        <f t="shared" si="10"/>
        <v>-8501.0500000000029</v>
      </c>
      <c r="O33" s="243"/>
      <c r="P33" s="281">
        <f t="shared" si="12"/>
        <v>0</v>
      </c>
      <c r="Q33" s="266">
        <f>SUMIFS(BV_Data_An_Prec!$AM:$AM,BV_Data_An_Prec!$AP:$AP,$B33,BV_Data_An_Prec!$AQ:$AQ,$C33,BV_Data_An_Prec!$AR:$AR,Q$2)</f>
        <v>0</v>
      </c>
      <c r="R33" s="243"/>
      <c r="S33" s="266">
        <f t="shared" si="13"/>
        <v>-8501.0500000000029</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f t="shared" si="11"/>
        <v>16.016031746031743</v>
      </c>
      <c r="L34" s="266">
        <f>SUMIFS(BV_Data_An_Cour!$AM:$AM,BV_Data_An_Cour!$AP:$AP,$B34,BV_Data_An_Cour!$AQ:$AQ,$C34,BV_Data_An_Cour!$AR:$AR,L$2)</f>
        <v>1009.0099999999998</v>
      </c>
      <c r="M34" s="243"/>
      <c r="N34" s="266">
        <f t="shared" si="10"/>
        <v>1009.0099999999998</v>
      </c>
      <c r="O34" s="243"/>
      <c r="P34" s="281">
        <f t="shared" si="12"/>
        <v>0</v>
      </c>
      <c r="Q34" s="266">
        <f>SUMIFS(BV_Data_An_Prec!$AM:$AM,BV_Data_An_Prec!$AP:$AP,$B34,BV_Data_An_Prec!$AQ:$AQ,$C34,BV_Data_An_Prec!$AR:$AR,Q$2)</f>
        <v>0</v>
      </c>
      <c r="R34" s="243"/>
      <c r="S34" s="266">
        <f t="shared" si="13"/>
        <v>1009.0099999999998</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f t="shared" si="11"/>
        <v>334.61380952380949</v>
      </c>
      <c r="L36" s="954">
        <f>SUMIFS(BV_Data_An_Cour!$AM:$AM,BV_Data_An_Cour!$AP:$AP,$B36,BV_Data_An_Cour!$AQ:$AQ,$C36,BV_Data_An_Cour!$AR:$AR,L$2)</f>
        <v>21080.67</v>
      </c>
      <c r="M36" s="243"/>
      <c r="N36" s="266">
        <f t="shared" si="10"/>
        <v>21080.67</v>
      </c>
      <c r="O36" s="243"/>
      <c r="P36" s="281">
        <f t="shared" si="12"/>
        <v>0</v>
      </c>
      <c r="Q36" s="266">
        <f>SUMIFS(BV_Data_An_Prec!$AM:$AM,BV_Data_An_Prec!$AP:$AP,$B36,BV_Data_An_Prec!$AQ:$AQ,$C36,BV_Data_An_Prec!$AR:$AR,Q$2)</f>
        <v>0</v>
      </c>
      <c r="R36" s="243"/>
      <c r="S36" s="266">
        <f t="shared" si="13"/>
        <v>21080.67</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f t="shared" si="11"/>
        <v>679.50476190476263</v>
      </c>
      <c r="L37" s="266">
        <f>SUMIFS(BV_Data_An_Cour!$AM:$AM,BV_Data_An_Cour!$AP:$AP,$B37,BV_Data_An_Cour!$AQ:$AQ,$C37,BV_Data_An_Cour!$AR:$AR,L$2)</f>
        <v>42808.800000000047</v>
      </c>
      <c r="M37" s="243"/>
      <c r="N37" s="658">
        <f t="shared" si="10"/>
        <v>42808.800000000047</v>
      </c>
      <c r="O37" s="243"/>
      <c r="P37" s="281">
        <f t="shared" si="12"/>
        <v>0</v>
      </c>
      <c r="Q37" s="266">
        <f>SUMIFS(BV_Data_An_Prec!$AM:$AM,BV_Data_An_Prec!$AP:$AP,$B37,BV_Data_An_Prec!$AQ:$AQ,$C37,BV_Data_An_Prec!$AR:$AR,Q$2)</f>
        <v>0</v>
      </c>
      <c r="R37" s="243"/>
      <c r="S37" s="266">
        <f t="shared" si="13"/>
        <v>42808.800000000047</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3129</v>
      </c>
      <c r="D38" s="287"/>
      <c r="E38" s="281" t="e">
        <f t="shared" si="9"/>
        <v>#DIV/0!</v>
      </c>
      <c r="F38" s="244">
        <f>+INDEX('Budget original'!$A$2:$AO$501,MATCH($A38,'Budget original'!$A$2:$A$501,0),MATCH(F$2,'Budget original'!$A$2:$AO$2,0))</f>
        <v>0</v>
      </c>
      <c r="G38" s="288"/>
      <c r="H38" s="281"/>
      <c r="I38" s="244"/>
      <c r="J38" s="243"/>
      <c r="K38" s="281">
        <f t="shared" si="11"/>
        <v>-5710.2188888888895</v>
      </c>
      <c r="L38" s="266">
        <f>SUMIFS(BV_Data_An_Cour!$AM:$AM,BV_Data_An_Cour!$AP:$AP,$B38,BV_Data_An_Cour!$AQ:$AQ,$C38,BV_Data_An_Cour!$AR:$AR,L$2)</f>
        <v>-359743.79000000004</v>
      </c>
      <c r="M38" s="38"/>
      <c r="N38" s="266">
        <f t="shared" si="10"/>
        <v>-359743.79000000004</v>
      </c>
      <c r="O38" s="243"/>
      <c r="P38" s="281">
        <f t="shared" si="12"/>
        <v>0</v>
      </c>
      <c r="Q38" s="266">
        <f>SUMIFS(BV_Data_An_Prec!$AM:$AM,BV_Data_An_Prec!$AP:$AP,$B38,BV_Data_An_Prec!$AQ:$AQ,$C38,BV_Data_An_Prec!$AR:$AR,Q$2)</f>
        <v>0</v>
      </c>
      <c r="R38" s="243"/>
      <c r="S38" s="266">
        <f t="shared" si="13"/>
        <v>-359743.79000000004</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3130</v>
      </c>
      <c r="D39" s="287"/>
      <c r="E39" s="281" t="e">
        <f t="shared" si="9"/>
        <v>#DIV/0!</v>
      </c>
      <c r="F39" s="244">
        <f>+INDEX('Budget original'!$A$2:$AO$501,MATCH($A39,'Budget original'!$A$2:$A$501,0),MATCH(F$2,'Budget original'!$A$2:$AO$2,0))</f>
        <v>0</v>
      </c>
      <c r="G39" s="288"/>
      <c r="H39" s="281"/>
      <c r="I39" s="244"/>
      <c r="J39" s="243"/>
      <c r="K39" s="281">
        <f t="shared" si="11"/>
        <v>0</v>
      </c>
      <c r="L39" s="266">
        <f>SUMIFS(BV_Data_An_Cour!$AM:$AM,BV_Data_An_Cour!$AP:$AP,$B39,BV_Data_An_Cour!$AQ:$AQ,$C39,BV_Data_An_Cour!$AR:$AR,L$2)</f>
        <v>0</v>
      </c>
      <c r="M39" s="38"/>
      <c r="N39" s="266">
        <f t="shared" si="10"/>
        <v>0</v>
      </c>
      <c r="O39" s="243"/>
      <c r="P39" s="281">
        <f t="shared" si="12"/>
        <v>0</v>
      </c>
      <c r="Q39" s="266">
        <f>SUMIFS(BV_Data_An_Prec!$AM:$AM,BV_Data_An_Prec!$AP:$AP,$B39,BV_Data_An_Prec!$AQ:$AQ,$C39,BV_Data_An_Prec!$AR:$AR,Q$2)</f>
        <v>0</v>
      </c>
      <c r="R39" s="243"/>
      <c r="S39" s="266">
        <f t="shared" si="13"/>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f>L41/L$27</f>
        <v>-0.69436429195097127</v>
      </c>
      <c r="L41" s="294">
        <f>SUM(L31:L40)</f>
        <v>-231570.28999999995</v>
      </c>
      <c r="M41" s="296"/>
      <c r="N41" s="294">
        <f t="shared" si="10"/>
        <v>-231570.28999999995</v>
      </c>
      <c r="O41" s="295" t="s">
        <v>115</v>
      </c>
      <c r="P41" s="293" t="e">
        <f>Q41/Q$27</f>
        <v>#DIV/0!</v>
      </c>
      <c r="Q41" s="294">
        <f>SUM(Q31:Q40)</f>
        <v>0</v>
      </c>
      <c r="R41" s="297"/>
      <c r="S41" s="294">
        <f t="shared" si="16"/>
        <v>-231570.28999999995</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f>SUMIFS(BV_Data_An_Cour!$AM:$AM,BV_Data_An_Cour!$AP:$AP,$B42,BV_Data_An_Cour!$AQ:$AQ,$C42,BV_Data_An_Cour!$AR:$AR,L$2)</f>
        <v>16326.830000000002</v>
      </c>
      <c r="M42" s="243"/>
      <c r="N42" s="266">
        <f t="shared" si="10"/>
        <v>16326.830000000002</v>
      </c>
      <c r="O42" s="243"/>
      <c r="P42" s="38"/>
      <c r="Q42" s="281">
        <f>SUMIFS(BV_Data_An_Prec!$AM:$AM,BV_Data_An_Prec!$AP:$AP,$B42,BV_Data_An_Prec!$AQ:$AQ,$C42,BV_Data_An_Prec!$AR:$AR,Q$2)</f>
        <v>0</v>
      </c>
      <c r="R42" s="243"/>
      <c r="S42" s="266">
        <f t="shared" si="16"/>
        <v>16326.830000000002</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f>SUMIFS(BV_Data_An_Cour!$AM:$AM,BV_Data_An_Cour!$AP:$AP,$B43,BV_Data_An_Cour!$AQ:$AQ,$C43,BV_Data_An_Cour!$AR:$AR,L$2)</f>
        <v>30213.120000000024</v>
      </c>
      <c r="M43" s="243"/>
      <c r="N43" s="266">
        <f t="shared" si="10"/>
        <v>30213.120000000024</v>
      </c>
      <c r="O43" s="243"/>
      <c r="P43" s="38"/>
      <c r="Q43" s="286">
        <f>SUMIFS(BV_Data_An_Prec!$AM:$AM,BV_Data_An_Prec!$AP:$AP,$B43,BV_Data_An_Prec!$AQ:$AQ,$C43,BV_Data_An_Prec!$AR:$AR,Q$2)</f>
        <v>0</v>
      </c>
      <c r="R43" s="243"/>
      <c r="S43" s="266">
        <f t="shared" si="16"/>
        <v>30213.120000000024</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f>SUMIFS(BV_Data_An_Cour!$AM:$AM,BV_Data_An_Cour!$AP:$AP,$B44,BV_Data_An_Cour!$AQ:$AQ,$C44,BV_Data_An_Cour!$AR:$AR,L$2)</f>
        <v>4111.4999999999964</v>
      </c>
      <c r="M44" s="233"/>
      <c r="N44" s="303">
        <f t="shared" si="10"/>
        <v>4111.4999999999964</v>
      </c>
      <c r="O44" s="233"/>
      <c r="P44" s="301"/>
      <c r="Q44" s="281">
        <f>SUMIFS(BV_Data_An_Prec!$AM:$AM,BV_Data_An_Prec!$AP:$AP,$B44,BV_Data_An_Prec!$AQ:$AQ,$C44,BV_Data_An_Prec!$AR:$AR,Q$2)</f>
        <v>0</v>
      </c>
      <c r="R44" s="233"/>
      <c r="S44" s="303">
        <f t="shared" si="16"/>
        <v>4111.4999999999964</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f>SUMIFS(BV_Data_An_Cour!$AM:$AM,BV_Data_An_Cour!$AP:$AP,$B49,BV_Data_An_Cour!$AQ:$AQ,$C49,BV_Data_An_Cour!$AR:$AR,L$2)</f>
        <v>13401.940000000002</v>
      </c>
      <c r="M49" s="243"/>
      <c r="N49" s="266">
        <f t="shared" si="10"/>
        <v>13401.940000000002</v>
      </c>
      <c r="O49" s="243"/>
      <c r="P49" s="38"/>
      <c r="Q49" s="286">
        <f>SUMIFS(BV_Data_An_Prec!$AM:$AM,BV_Data_An_Prec!$AP:$AP,$B49,BV_Data_An_Prec!$AQ:$AQ,$C49,BV_Data_An_Prec!$AR:$AR,Q$2)</f>
        <v>0</v>
      </c>
      <c r="R49" s="243"/>
      <c r="S49" s="266">
        <f t="shared" si="16"/>
        <v>13401.940000000002</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f>SUMIFS(BV_Data_An_Cour!$AM:$AM,BV_Data_An_Cour!$AP:$AP,$B50,BV_Data_An_Cour!$AQ:$AQ,$C50,BV_Data_An_Cour!$AR:$AR,L$2)</f>
        <v>13469.270000000019</v>
      </c>
      <c r="M50" s="233"/>
      <c r="N50" s="303">
        <f t="shared" si="10"/>
        <v>13469.270000000019</v>
      </c>
      <c r="O50" s="233"/>
      <c r="P50" s="301"/>
      <c r="Q50" s="281">
        <f>SUMIFS(BV_Data_An_Prec!$AM:$AM,BV_Data_An_Prec!$AP:$AP,$B50,BV_Data_An_Prec!$AQ:$AQ,$C50,BV_Data_An_Prec!$AR:$AR,Q$2)</f>
        <v>0</v>
      </c>
      <c r="R50" s="233"/>
      <c r="S50" s="303">
        <f t="shared" si="16"/>
        <v>13469.270000000019</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f>SUMIFS(BV_Data_An_Cour!$AM:$AM,BV_Data_An_Cour!$AP:$AP,$B51,BV_Data_An_Cour!$AQ:$AQ,$C51,BV_Data_An_Cour!$AR:$AR,L$2)</f>
        <v>749.43000000000029</v>
      </c>
      <c r="M51" s="243"/>
      <c r="N51" s="266">
        <f t="shared" si="10"/>
        <v>749.43000000000029</v>
      </c>
      <c r="O51" s="243"/>
      <c r="P51" s="38"/>
      <c r="Q51" s="281">
        <f>SUMIFS(BV_Data_An_Prec!$AM:$AM,BV_Data_An_Prec!$AP:$AP,$B51,BV_Data_An_Prec!$AQ:$AQ,$C51,BV_Data_An_Prec!$AR:$AR,Q$2)</f>
        <v>0</v>
      </c>
      <c r="R51" s="243"/>
      <c r="S51" s="266">
        <f t="shared" si="16"/>
        <v>749.43000000000029</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f>SUMIFS(BV_Data_An_Cour!$AM:$AM,BV_Data_An_Cour!$AP:$AP,$B52,BV_Data_An_Cour!$AQ:$AQ,$C52,BV_Data_An_Cour!$AR:$AR,L$2)</f>
        <v>7.5199999999999818</v>
      </c>
      <c r="M52" s="243"/>
      <c r="N52" s="266">
        <f t="shared" si="10"/>
        <v>7.5199999999999818</v>
      </c>
      <c r="O52" s="243"/>
      <c r="P52" s="38"/>
      <c r="Q52" s="281">
        <f>SUMIFS(BV_Data_An_Prec!$AM:$AM,BV_Data_An_Prec!$AP:$AP,$B52,BV_Data_An_Prec!$AQ:$AQ,$C52,BV_Data_An_Prec!$AR:$AR,Q$2)</f>
        <v>0</v>
      </c>
      <c r="R52" s="243"/>
      <c r="S52" s="266">
        <f t="shared" si="16"/>
        <v>7.5199999999999818</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f>L54/L$27</f>
        <v>0.2347216733711748</v>
      </c>
      <c r="L54" s="294">
        <f>+SUM(L42:L53)</f>
        <v>78279.610000000059</v>
      </c>
      <c r="M54" s="296"/>
      <c r="N54" s="294">
        <f>+SUM(N42:N53)</f>
        <v>78279.610000000059</v>
      </c>
      <c r="O54" s="295" t="s">
        <v>115</v>
      </c>
      <c r="P54" s="293" t="e">
        <f>Q54/Q$27</f>
        <v>#DIV/0!</v>
      </c>
      <c r="Q54" s="294">
        <f>+SUM(Q42:Q53)</f>
        <v>0</v>
      </c>
      <c r="R54" s="297"/>
      <c r="S54" s="294">
        <f>+SUM(S42:S53)</f>
        <v>78279.610000000059</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f>SUMIFS(BV_Data_An_Cour!$AM:$AM,BV_Data_An_Cour!$AP:$AP,$B57,BV_Data_An_Cour!$AQ:$AQ,$C57,BV_Data_An_Cour!$AR:$AR,L$2)</f>
        <v>4782.8300000000017</v>
      </c>
      <c r="M57" s="238"/>
      <c r="N57" s="286">
        <f t="shared" si="17"/>
        <v>4782.8300000000017</v>
      </c>
      <c r="O57" s="238"/>
      <c r="P57" s="304"/>
      <c r="Q57" s="286">
        <f>SUMIFS(BV_Data_An_Prec!$AM:$AM,BV_Data_An_Prec!$AP:$AP,$B57,BV_Data_An_Prec!$AQ:$AQ,$C57,BV_Data_An_Prec!$AR:$AR,Q$2)</f>
        <v>0</v>
      </c>
      <c r="R57" s="238"/>
      <c r="S57" s="286">
        <f t="shared" si="18"/>
        <v>4782.8300000000017</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f>SUMIFS(BV_Data_An_Cour!$AM:$AM,BV_Data_An_Cour!$AP:$AP,$B58,BV_Data_An_Cour!$AQ:$AQ,$C58,BV_Data_An_Cour!$AR:$AR,L$2)</f>
        <v>3685.2299999999959</v>
      </c>
      <c r="M58" s="243"/>
      <c r="N58" s="266">
        <f t="shared" si="17"/>
        <v>3685.2299999999959</v>
      </c>
      <c r="O58" s="243"/>
      <c r="P58" s="38"/>
      <c r="Q58" s="266">
        <f>SUMIFS(BV_Data_An_Prec!$AM:$AM,BV_Data_An_Prec!$AP:$AP,$B58,BV_Data_An_Prec!$AQ:$AQ,$C58,BV_Data_An_Prec!$AR:$AR,Q$2)</f>
        <v>0</v>
      </c>
      <c r="R58" s="243"/>
      <c r="S58" s="266">
        <f t="shared" si="18"/>
        <v>3685.2299999999959</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f>SUMIFS(BV_Data_An_Cour!$AM:$AM,BV_Data_An_Cour!$AP:$AP,$B59,BV_Data_An_Cour!$AQ:$AQ,$C59,BV_Data_An_Cour!$AR:$AR,L$2)</f>
        <v>503.28999999999814</v>
      </c>
      <c r="M59" s="243"/>
      <c r="N59" s="266">
        <f t="shared" si="17"/>
        <v>503.28999999999814</v>
      </c>
      <c r="O59" s="243"/>
      <c r="P59" s="38"/>
      <c r="Q59" s="266">
        <f>SUMIFS(BV_Data_An_Prec!$AM:$AM,BV_Data_An_Prec!$AP:$AP,$B59,BV_Data_An_Prec!$AQ:$AQ,$C59,BV_Data_An_Prec!$AR:$AR,Q$2)</f>
        <v>0</v>
      </c>
      <c r="R59" s="243"/>
      <c r="S59" s="266">
        <f t="shared" si="18"/>
        <v>503.28999999999814</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f>SUMIFS(BV_Data_An_Cour!$AM:$AM,BV_Data_An_Cour!$AP:$AP,$B60,BV_Data_An_Cour!$AQ:$AQ,$C60,BV_Data_An_Cour!$AR:$AR,L$2)</f>
        <v>10251.370000000003</v>
      </c>
      <c r="M60" s="238"/>
      <c r="N60" s="286">
        <f t="shared" si="17"/>
        <v>10251.370000000003</v>
      </c>
      <c r="O60" s="238"/>
      <c r="P60" s="304"/>
      <c r="Q60" s="286">
        <f>SUMIFS(BV_Data_An_Prec!$AM:$AM,BV_Data_An_Prec!$AP:$AP,$B60,BV_Data_An_Prec!$AQ:$AQ,$C60,BV_Data_An_Prec!$AR:$AR,Q$2)</f>
        <v>0</v>
      </c>
      <c r="R60" s="238"/>
      <c r="S60" s="286">
        <f t="shared" si="18"/>
        <v>10251.370000000003</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f>SUMIFS(BV_Data_An_Cour!$AM:$AM,BV_Data_An_Cour!$AP:$AP,$B61,BV_Data_An_Cour!$AQ:$AQ,$C61,BV_Data_An_Cour!$AR:$AR,L$2)</f>
        <v>644.5</v>
      </c>
      <c r="M61" s="243"/>
      <c r="N61" s="266">
        <f t="shared" si="17"/>
        <v>644.5</v>
      </c>
      <c r="O61" s="243"/>
      <c r="P61" s="38"/>
      <c r="Q61" s="266">
        <f>SUMIFS(BV_Data_An_Prec!$AM:$AM,BV_Data_An_Prec!$AP:$AP,$B61,BV_Data_An_Prec!$AQ:$AQ,$C61,BV_Data_An_Prec!$AR:$AR,Q$2)</f>
        <v>0</v>
      </c>
      <c r="R61" s="243"/>
      <c r="S61" s="266">
        <f t="shared" si="18"/>
        <v>644.5</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f>SUMIFS(BV_Data_An_Cour!$AM:$AM,BV_Data_An_Cour!$AP:$AP,$B63,BV_Data_An_Cour!$AQ:$AQ,$C63,BV_Data_An_Cour!$AR:$AR,L$2)</f>
        <v>2171.3199999999997</v>
      </c>
      <c r="M63" s="243"/>
      <c r="N63" s="266">
        <f t="shared" si="17"/>
        <v>2171.3199999999997</v>
      </c>
      <c r="O63" s="243"/>
      <c r="P63" s="38"/>
      <c r="Q63" s="266">
        <f>SUMIFS(BV_Data_An_Prec!$AM:$AM,BV_Data_An_Prec!$AP:$AP,$B63,BV_Data_An_Prec!$AQ:$AQ,$C63,BV_Data_An_Prec!$AR:$AR,Q$2)</f>
        <v>0</v>
      </c>
      <c r="R63" s="243"/>
      <c r="S63" s="266">
        <f t="shared" si="18"/>
        <v>2171.3199999999997</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f>SUMIFS(BV_Data_An_Cour!$AM:$AM,BV_Data_An_Cour!$AP:$AP,$B64,BV_Data_An_Cour!$AQ:$AQ,$C64,BV_Data_An_Cour!$AR:$AR,L$2)</f>
        <v>525.97000000000116</v>
      </c>
      <c r="M64" s="243"/>
      <c r="N64" s="266">
        <f t="shared" si="17"/>
        <v>525.97000000000116</v>
      </c>
      <c r="O64" s="243"/>
      <c r="P64" s="38"/>
      <c r="Q64" s="266">
        <f>SUMIFS(BV_Data_An_Prec!$AM:$AM,BV_Data_An_Prec!$AP:$AP,$B64,BV_Data_An_Prec!$AQ:$AQ,$C64,BV_Data_An_Prec!$AR:$AR,Q$2)</f>
        <v>0</v>
      </c>
      <c r="R64" s="243"/>
      <c r="S64" s="266">
        <f t="shared" si="18"/>
        <v>525.97000000000116</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f>SUMIFS(BV_Data_An_Cour!$AM:$AM,BV_Data_An_Cour!$AP:$AP,$B65,BV_Data_An_Cour!$AQ:$AQ,$C65,BV_Data_An_Cour!$AR:$AR,L$2)</f>
        <v>681.21999999999935</v>
      </c>
      <c r="M65" s="243"/>
      <c r="N65" s="266">
        <f t="shared" si="17"/>
        <v>681.21999999999935</v>
      </c>
      <c r="O65" s="243"/>
      <c r="P65" s="38"/>
      <c r="Q65" s="266">
        <f>SUMIFS(BV_Data_An_Prec!$AM:$AM,BV_Data_An_Prec!$AP:$AP,$B65,BV_Data_An_Prec!$AQ:$AQ,$C65,BV_Data_An_Prec!$AR:$AR,Q$2)</f>
        <v>0</v>
      </c>
      <c r="R65" s="243"/>
      <c r="S65" s="266">
        <f t="shared" si="18"/>
        <v>681.21999999999935</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f>SUMIFS(BV_Data_An_Cour!$AM:$AM,BV_Data_An_Cour!$AP:$AP,$B66,BV_Data_An_Cour!$AQ:$AQ,$C66,BV_Data_An_Cour!$AR:$AR,L$2)</f>
        <v>3675.1200000000008</v>
      </c>
      <c r="M66" s="243"/>
      <c r="N66" s="266">
        <f t="shared" si="17"/>
        <v>3675.1200000000008</v>
      </c>
      <c r="O66" s="243"/>
      <c r="P66" s="38"/>
      <c r="Q66" s="266">
        <f>SUMIFS(BV_Data_An_Prec!$AM:$AM,BV_Data_An_Prec!$AP:$AP,$B66,BV_Data_An_Prec!$AQ:$AQ,$C66,BV_Data_An_Prec!$AR:$AR,Q$2)</f>
        <v>0</v>
      </c>
      <c r="R66" s="243"/>
      <c r="S66" s="266">
        <f t="shared" si="18"/>
        <v>3675.1200000000008</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f>SUMIFS(BV_Data_An_Cour!$AM:$AM,BV_Data_An_Cour!$AP:$AP,$B67,BV_Data_An_Cour!$AQ:$AQ,$C67,BV_Data_An_Cour!$AR:$AR,L$2)</f>
        <v>665</v>
      </c>
      <c r="M67" s="243"/>
      <c r="N67" s="266">
        <f t="shared" si="17"/>
        <v>665</v>
      </c>
      <c r="O67" s="243"/>
      <c r="P67" s="38"/>
      <c r="Q67" s="266">
        <f>SUMIFS(BV_Data_An_Prec!$AM:$AM,BV_Data_An_Prec!$AP:$AP,$B67,BV_Data_An_Prec!$AQ:$AQ,$C67,BV_Data_An_Prec!$AR:$AR,Q$2)</f>
        <v>0</v>
      </c>
      <c r="R67" s="243"/>
      <c r="S67" s="266">
        <f t="shared" si="18"/>
        <v>665</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f>SUMIFS(BV_Data_An_Cour!$AM:$AM,BV_Data_An_Cour!$AP:$AP,$B68,BV_Data_An_Cour!$AQ:$AQ,$C68,BV_Data_An_Cour!$AR:$AR,L$2)</f>
        <v>445.28999999999996</v>
      </c>
      <c r="M68" s="243"/>
      <c r="N68" s="658">
        <f t="shared" si="17"/>
        <v>445.28999999999996</v>
      </c>
      <c r="O68" s="243"/>
      <c r="P68" s="38"/>
      <c r="Q68" s="266">
        <f>SUMIFS(BV_Data_An_Prec!$AM:$AM,BV_Data_An_Prec!$AP:$AP,$B68,BV_Data_An_Prec!$AQ:$AQ,$C68,BV_Data_An_Prec!$AR:$AR,Q$2)</f>
        <v>0</v>
      </c>
      <c r="R68" s="243"/>
      <c r="S68" s="266">
        <f t="shared" si="18"/>
        <v>445.28999999999996</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f>L72/L$27</f>
        <v>8.4051467391082657E-2</v>
      </c>
      <c r="L72" s="294">
        <f>+SUM(L55:L71)</f>
        <v>28031.14</v>
      </c>
      <c r="M72" s="296"/>
      <c r="N72" s="294">
        <f>+SUM(N55:N71)</f>
        <v>28031.14</v>
      </c>
      <c r="O72" s="295" t="s">
        <v>115</v>
      </c>
      <c r="P72" s="293" t="e">
        <f>Q72/Q$27</f>
        <v>#DIV/0!</v>
      </c>
      <c r="Q72" s="294">
        <f>+SUM(Q55:Q71)</f>
        <v>0</v>
      </c>
      <c r="R72" s="297"/>
      <c r="S72" s="294">
        <f>+SUM(S55:S71)</f>
        <v>28031.14</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f>L74/L$27</f>
        <v>-0.37559115118871378</v>
      </c>
      <c r="L74" s="294">
        <f>L41+L54+L72</f>
        <v>-125259.53999999988</v>
      </c>
      <c r="M74" s="296"/>
      <c r="N74" s="294">
        <f t="shared" ref="N74:N82" si="19">L74-F74</f>
        <v>-125259.53999999988</v>
      </c>
      <c r="O74" s="295" t="s">
        <v>115</v>
      </c>
      <c r="P74" s="293" t="e">
        <f>Q74/Q$27</f>
        <v>#DIV/0!</v>
      </c>
      <c r="Q74" s="294">
        <f>Q41+Q54+Q72</f>
        <v>0</v>
      </c>
      <c r="R74" s="297"/>
      <c r="S74" s="294">
        <f>L74-Q74</f>
        <v>-125259.53999999988</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3136</v>
      </c>
      <c r="D75" s="287"/>
      <c r="E75" s="38"/>
      <c r="F75" s="244">
        <f>+INDEX('Budget original'!$A$2:$AO$501,MATCH($A75,'Budget original'!$A$2:$A$501,0),MATCH(F$2,'Budget original'!$A$2:$AO$2,0))</f>
        <v>0</v>
      </c>
      <c r="G75" s="288"/>
      <c r="H75" s="38"/>
      <c r="I75" s="244"/>
      <c r="J75" s="243"/>
      <c r="K75" s="38"/>
      <c r="L75" s="266">
        <f>-SUMIFS(BV_Data_An_Cour!$AM:$AM,BV_Data_An_Cour!$AP:$AP,$B75,BV_Data_An_Cour!$AQ:$AQ,$C75,BV_Data_An_Cour!$AR:$AR,L$2)-L157</f>
        <v>54404.950000000041</v>
      </c>
      <c r="M75" s="243"/>
      <c r="N75" s="266">
        <f t="shared" si="19"/>
        <v>54404.950000000041</v>
      </c>
      <c r="O75" s="243"/>
      <c r="P75" s="38"/>
      <c r="Q75" s="266">
        <f>-SUMIFS(BV_Data_An_Prec!$AM:$AM,BV_Data_An_Prec!$AP:$AP,$B75,BV_Data_An_Prec!$AQ:$AQ,$C75,BV_Data_An_Prec!$AR:$AR,Q$2)-Q157</f>
        <v>0</v>
      </c>
      <c r="R75" s="243"/>
      <c r="S75" s="266">
        <f t="shared" ref="S75:S82" si="20">L75-Q75</f>
        <v>54404.950000000041</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f>+L78/J27</f>
        <v>0</v>
      </c>
      <c r="L78" s="266">
        <f>-SUMIFS(BV_Data_An_Cour!$AM:$AM,BV_Data_An_Cour!$AP:$AP,$B78,BV_Data_An_Cour!$AQ:$AQ,$C78,BV_Data_An_Cour!$AR:$AR,L$2)</f>
        <v>0</v>
      </c>
      <c r="M78" s="243"/>
      <c r="N78" s="266">
        <f t="shared" si="19"/>
        <v>0</v>
      </c>
      <c r="O78" s="734"/>
      <c r="P78" s="705" t="e">
        <f>+Q78/O27</f>
        <v>#DIV/0!</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f>K82/699</f>
        <v>0</v>
      </c>
      <c r="K82" s="307">
        <f>+L82/J24</f>
        <v>0</v>
      </c>
      <c r="L82" s="266">
        <f>-SUMIFS(BV_Data_An_Cour!$AM:$AM,BV_Data_An_Cour!$AP:$AP,$B82,BV_Data_An_Cour!$AQ:$AQ,$C82,BV_Data_An_Cour!$AR:$AR,L$2)</f>
        <v>0</v>
      </c>
      <c r="M82" s="243"/>
      <c r="N82" s="266">
        <f t="shared" si="19"/>
        <v>0</v>
      </c>
      <c r="O82" s="744" t="e">
        <f>P82/699</f>
        <v>#DIV/0!</v>
      </c>
      <c r="P82" s="307" t="e">
        <f>+Q82/O24</f>
        <v>#DIV/0!</v>
      </c>
      <c r="Q82" s="266">
        <f>-SUMIFS(BV_Data_An_Prec!$AM:$AM,BV_Data_An_Prec!$AP:$AP,$B82,BV_Data_An_Prec!$AQ:$AQ,$C82,BV_Data_An_Prec!$AR:$AR,Q$2)</f>
        <v>0</v>
      </c>
      <c r="R82" s="243"/>
      <c r="S82" s="266">
        <f t="shared" si="20"/>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f>+SUM(L75:L82)</f>
        <v>54404.950000000041</v>
      </c>
      <c r="M83" s="296"/>
      <c r="N83" s="294">
        <f>+SUM(N75:N82)</f>
        <v>54404.950000000041</v>
      </c>
      <c r="O83" s="295"/>
      <c r="P83" s="293"/>
      <c r="Q83" s="294">
        <f>+SUM(Q75:Q82)</f>
        <v>0</v>
      </c>
      <c r="R83" s="297"/>
      <c r="S83" s="294">
        <f>+SUM(S75:S82)</f>
        <v>54404.950000000041</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f>L27-L74+L83</f>
        <v>513164.19999999367</v>
      </c>
      <c r="M85" s="960"/>
      <c r="N85" s="958">
        <f>N27-N41-N54-N72+N83</f>
        <v>513164.19999999367</v>
      </c>
      <c r="O85" s="959"/>
      <c r="P85" s="957"/>
      <c r="Q85" s="958">
        <f>Q27-Q74+Q83</f>
        <v>0</v>
      </c>
      <c r="R85" s="961"/>
      <c r="S85" s="958">
        <f>S27-S41-S54-S72+S83</f>
        <v>513164.19999999367</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Octobre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f>-SUMIFS(BV_Data_An_Cour!$AM:$AM,BV_Data_An_Cour!$AS:$AS,"Oui",BV_Data_An_Cour!$AP:$AP,$B93)</f>
        <v>2114903.7900000014</v>
      </c>
      <c r="M93" s="320"/>
      <c r="N93" s="321"/>
      <c r="O93" s="238"/>
      <c r="P93" s="284"/>
      <c r="Q93" s="286">
        <f>-SUMIFS(BV_Data_An_Prec!$AM:$AM,BV_Data_An_Prec!$AS:$AS,"Oui",BV_Data_An_Prec!$AP:$AP,$B93)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f>SUMIFS(BV_Data_An_Cour!$AW:$AW,BV_Data_An_Cour!$AP:$AP,$B94,BV_Data_An_Cour!$AQ:$AQ,$C94,BV_Data_An_Cour!$AY:$AY,J$2)</f>
        <v>0</v>
      </c>
      <c r="K94" s="281">
        <f t="shared" ref="K94:K95" si="21">IF(J94=0,0,L94/J94)</f>
        <v>0</v>
      </c>
      <c r="L94" s="266">
        <f>-SUMIFS(BV_Data_An_Cour!$AM:$AM,BV_Data_An_Cour!$AP:$AP,$B94,BV_Data_An_Cour!$AQ:$AQ,$C94,BV_Data_An_Cour!$AR:$AR,$L2)</f>
        <v>0</v>
      </c>
      <c r="M94" s="245">
        <f>J94-D94</f>
        <v>0</v>
      </c>
      <c r="N94" s="246">
        <f>L94-F94</f>
        <v>0</v>
      </c>
      <c r="O94" s="245">
        <f>SUMIFS(BV_Data_An_Prec!$AW:$AW,BV_Data_An_Prec!$AP:$AP,$B94,BV_Data_An_Prec!$AQ:$AQ,$C94,BV_Data_An_Prec!$AY:$AY,O$2)</f>
        <v>0</v>
      </c>
      <c r="P94" s="281">
        <f t="shared" ref="P94:P96" si="22">IF(O94=0,0,Q94/O94)</f>
        <v>0</v>
      </c>
      <c r="Q94" s="266">
        <f>-SUMIFS(BV_Data_An_Prec!$AM:$AM,BV_Data_An_Prec!$AP:$AP,$B94,BV_Data_An_Prec!$AQ:$AQ,$C94,BV_Data_An_Prec!$AR:$AR,$L2)</f>
        <v>0</v>
      </c>
      <c r="R94" s="245">
        <f t="shared" ref="R94" si="23">J94-O94</f>
        <v>0</v>
      </c>
      <c r="S94" s="266">
        <f t="shared" ref="S94:S95" si="24">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f>SUMIFS(BV_Data_An_Cour!$AW:$AW,BV_Data_An_Cour!$AP:$AP,$B95,BV_Data_An_Cour!$AQ:$AQ,$C95,BV_Data_An_Cour!$AY:$AY,J$2)</f>
        <v>26</v>
      </c>
      <c r="K95" s="281">
        <f t="shared" si="21"/>
        <v>939.12000000000432</v>
      </c>
      <c r="L95" s="266">
        <f>-SUMIFS(BV_Data_An_Cour!$AM:$AM,BV_Data_An_Cour!$AP:$AP,$B95,BV_Data_An_Cour!$AQ:$AQ,$C95,BV_Data_An_Cour!$AR:$AR,$L2)</f>
        <v>24417.120000000112</v>
      </c>
      <c r="M95" s="245">
        <f>J95-D95</f>
        <v>26</v>
      </c>
      <c r="N95" s="246">
        <f>L95-F95</f>
        <v>24417.120000000112</v>
      </c>
      <c r="O95" s="245">
        <f>SUMIFS(BV_Data_An_Prec!$AW:$AW,BV_Data_An_Prec!$AP:$AP,$B95,BV_Data_An_Prec!$AQ:$AQ,$C95,BV_Data_An_Prec!$AY:$AY,O$2)</f>
        <v>0</v>
      </c>
      <c r="P95" s="281">
        <f t="shared" si="22"/>
        <v>0</v>
      </c>
      <c r="Q95" s="266">
        <f>-SUMIFS(BV_Data_An_Prec!$AM:$AM,BV_Data_An_Prec!$AP:$AP,$B95,BV_Data_An_Prec!$AQ:$AQ,$C95,BV_Data_An_Prec!$AR:$AR,$L2)</f>
        <v>0</v>
      </c>
      <c r="R95" s="245">
        <f>J95-O95</f>
        <v>26</v>
      </c>
      <c r="S95" s="266">
        <f t="shared" si="24"/>
        <v>24417.120000000112</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f>+J94+J95+J96</f>
        <v>26</v>
      </c>
      <c r="K97" s="305">
        <f>IF(J97&lt;=0,0,L97/J97)</f>
        <v>939.12000000000432</v>
      </c>
      <c r="L97" s="356">
        <f>+L94+L95+L96</f>
        <v>24417.120000000112</v>
      </c>
      <c r="M97" s="252">
        <f>J97-D97</f>
        <v>26</v>
      </c>
      <c r="N97" s="251">
        <f>L97-F97</f>
        <v>24417.120000000112</v>
      </c>
      <c r="O97" s="250">
        <f>+O94+O95+O96</f>
        <v>0</v>
      </c>
      <c r="P97" s="305">
        <f>IF(O97&lt;=0,0,Q97/O97)</f>
        <v>0</v>
      </c>
      <c r="Q97" s="356">
        <f>+Q94+Q95+Q96</f>
        <v>0</v>
      </c>
      <c r="R97" s="252">
        <f>R94+R95</f>
        <v>26</v>
      </c>
      <c r="S97" s="356">
        <f>S94+S95</f>
        <v>24417.120000000112</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f>SUMIFS(BV_Data_An_Cour!$AW:$AW,BV_Data_An_Cour!$AP:$AP,$B101,BV_Data_An_Cour!$AQ:$AQ,$C101,BV_Data_An_Cour!$AY:$AY,J$2)</f>
        <v>44</v>
      </c>
      <c r="K101" s="281">
        <f>IF(J101=0,0,L101/J101)</f>
        <v>531.36636363643493</v>
      </c>
      <c r="L101" s="266">
        <f>-SUMIFS(BV_Data_An_Cour!$AM:$AM,BV_Data_An_Cour!$AP:$AP,$B101,BV_Data_An_Cour!$AQ:$AQ,$C101,BV_Data_An_Cour!$AR:$AR,L$2)</f>
        <v>23380.120000003139</v>
      </c>
      <c r="M101" s="245">
        <f>J101-D101</f>
        <v>44</v>
      </c>
      <c r="N101" s="246">
        <f>L101-F101</f>
        <v>23380.120000003139</v>
      </c>
      <c r="O101" s="245">
        <f>SUMIFS(BV_Data_An_Prec!$AW:$AW,BV_Data_An_Prec!$AP:$AP,$B101,BV_Data_An_Prec!$AQ:$AQ,$C101,BV_Data_An_Prec!$AY:$AY,O$2)</f>
        <v>0</v>
      </c>
      <c r="P101" s="281">
        <f>IF(O101=0,0,Q101/O101)</f>
        <v>0</v>
      </c>
      <c r="Q101" s="266">
        <f>-SUMIFS(BV_Data_An_Prec!$AM:$AM,BV_Data_An_Prec!$AP:$AP,$B101,BV_Data_An_Prec!$AQ:$AQ,$C101,BV_Data_An_Prec!$AR:$AR,Q$2)</f>
        <v>0</v>
      </c>
      <c r="R101" s="245">
        <f>J101-O101</f>
        <v>44</v>
      </c>
      <c r="S101" s="266">
        <f>L101-Q101</f>
        <v>23380.120000003139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f>IF(J97=0,0,L103/J97)</f>
        <v>189.1492307692308</v>
      </c>
      <c r="L103" s="266">
        <f>-SUMIFS(BV_Data_An_Cour!$AM:$AM,BV_Data_An_Cour!$AP:$AP,$B103,BV_Data_An_Cour!$AQ:$AQ,$C103,BV_Data_An_Cour!$AR:$AR,$L2)</f>
        <v>4917.880000000001</v>
      </c>
      <c r="M103" s="245"/>
      <c r="N103" s="246">
        <f>L103-F103</f>
        <v>4917.880000000001</v>
      </c>
      <c r="O103" s="245"/>
      <c r="P103" s="281">
        <f>IF(O97=0,0,Q103/O97)</f>
        <v>0</v>
      </c>
      <c r="Q103" s="266">
        <f>-SUMIFS(BV_Data_An_Prec!$AM:$AM,BV_Data_An_Prec!$AP:$AP,$B103,BV_Data_An_Prec!$AQ:$AQ,$C103,BV_Data_An_Prec!$AR:$AR,$L2)</f>
        <v>0</v>
      </c>
      <c r="R103" s="267">
        <f>P103-K103</f>
        <v>-189.1492307692308</v>
      </c>
      <c r="S103" s="266">
        <f t="shared" ref="S103:S105" si="29">L103-Q103</f>
        <v>4917.880000000001</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f>IF(J97=0,0,L104/J97)</f>
        <v>472.74346153846147</v>
      </c>
      <c r="L104" s="266">
        <f>-SUMIFS(BV_Data_An_Cour!$AM:$AM,BV_Data_An_Cour!$AP:$AP,$B104,BV_Data_An_Cour!$AQ:$AQ,$C104,BV_Data_An_Cour!$AR:$AR,$L2)</f>
        <v>12291.329999999998</v>
      </c>
      <c r="M104" s="245"/>
      <c r="N104" s="246">
        <f>L104-F104</f>
        <v>12291.329999999998</v>
      </c>
      <c r="O104" s="245"/>
      <c r="P104" s="281">
        <f>IF(O97=0,0,Q104/O97)</f>
        <v>0</v>
      </c>
      <c r="Q104" s="266">
        <f>-SUMIFS(BV_Data_An_Prec!$AM:$AM,BV_Data_An_Prec!$AP:$AP,$B104,BV_Data_An_Prec!$AQ:$AQ,$C104,BV_Data_An_Prec!$AR:$AR,$L2)</f>
        <v>0</v>
      </c>
      <c r="R104" s="267">
        <f t="shared" ref="R104:R106" si="30">P104-K104</f>
        <v>-472.74346153846147</v>
      </c>
      <c r="S104" s="266">
        <f t="shared" si="29"/>
        <v>12291.329999999998</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f>IF(J97=0,0,L105/J97)</f>
        <v>0</v>
      </c>
      <c r="L105" s="266">
        <f>-SUMIFS(BV_Data_An_Cour!$AM:$AM,BV_Data_An_Cour!$AP:$AP,$B105,BV_Data_An_Cour!$AQ:$AQ,$C105,BV_Data_An_Cour!$AR:$AR,$L$2)</f>
        <v>0</v>
      </c>
      <c r="M105" s="257"/>
      <c r="N105" s="246">
        <f>L105-F105</f>
        <v>0</v>
      </c>
      <c r="O105" s="245"/>
      <c r="P105" s="284">
        <f>IF(O97=0,0,Q105/O97)</f>
        <v>0</v>
      </c>
      <c r="Q105" s="266">
        <f>-SUMIFS(BV_Data_An_Prec!$AM:$AM,BV_Data_An_Prec!$AP:$AP,$B105,BV_Data_An_Prec!$AQ:$AQ,$C105,BV_Data_An_Prec!$AR:$AR,$L$2)</f>
        <v>0</v>
      </c>
      <c r="R105" s="267">
        <f t="shared" si="30"/>
        <v>0</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f>J97</f>
        <v>26</v>
      </c>
      <c r="K106" s="355">
        <f>IF(J106&lt;=0,0,L106/J106)</f>
        <v>661.8926923076923</v>
      </c>
      <c r="L106" s="356">
        <f>L103+L104+L105</f>
        <v>17209.21</v>
      </c>
      <c r="M106" s="265">
        <f>J106-D106</f>
        <v>26</v>
      </c>
      <c r="N106" s="251">
        <f>L106-F106</f>
        <v>17209.21</v>
      </c>
      <c r="O106" s="252">
        <f>O97</f>
        <v>0</v>
      </c>
      <c r="P106" s="355">
        <f>IF(O106&lt;=0,0,Q106/O106)</f>
        <v>0</v>
      </c>
      <c r="Q106" s="356">
        <f>Q103+Q104+Q105</f>
        <v>0</v>
      </c>
      <c r="R106" s="357">
        <f t="shared" si="30"/>
        <v>-661.8926923076923</v>
      </c>
      <c r="S106" s="356">
        <f>L106-Q106</f>
        <v>17209.21</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f>J97+J101</f>
        <v>70</v>
      </c>
      <c r="K109" s="269">
        <f>IF(J109&lt;=0,0,L109/J109)</f>
        <v>928.66357142861784</v>
      </c>
      <c r="L109" s="271">
        <f>L97+L106+L101+L99</f>
        <v>65006.450000003249</v>
      </c>
      <c r="M109" s="272">
        <f>J109-D109</f>
        <v>70</v>
      </c>
      <c r="N109" s="271">
        <f>L109-F109</f>
        <v>65006.450000003249</v>
      </c>
      <c r="O109" s="272">
        <f>O97+O101</f>
        <v>0</v>
      </c>
      <c r="P109" s="269">
        <f>IF(O109&lt;=0,0,Q109/O109)</f>
        <v>0</v>
      </c>
      <c r="Q109" s="271">
        <f>Q97+Q106+Q101+Q99</f>
        <v>0</v>
      </c>
      <c r="R109" s="272">
        <f>J109-O109</f>
        <v>70</v>
      </c>
      <c r="S109" s="271">
        <f>L109-Q109</f>
        <v>65006.450000003249</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f>L113/L97</f>
        <v>-2.256832091581634</v>
      </c>
      <c r="K113" s="281">
        <f>IF($J$97=0,0,L113/(J$94+J$95+J96))</f>
        <v>-2119.436153846154</v>
      </c>
      <c r="L113" s="266">
        <f>SUMIFS(BV_Data_An_Cour!$AM:$AM,BV_Data_An_Cour!$AP:$AP,$B113,BV_Data_An_Cour!$AQ:$AQ,$C113,BV_Data_An_Cour!$AR:$AR,$L$2)</f>
        <v>-55105.340000000004</v>
      </c>
      <c r="M113" s="243"/>
      <c r="N113" s="266">
        <f t="shared" ref="N113:N154" si="32">L113-F113</f>
        <v>-55105.340000000004</v>
      </c>
      <c r="O113" s="282" t="e">
        <f>Q113/Q97</f>
        <v>#DIV/0!</v>
      </c>
      <c r="P113" s="281" t="e">
        <f>IF($J$97=0,0,Q113/(O$94+O$95+O96))</f>
        <v>#DIV/0!</v>
      </c>
      <c r="Q113" s="266">
        <f>SUMIFS(BV_Data_An_Prec!$AM:$AM,BV_Data_An_Prec!$AP:$AP,$B113,BV_Data_An_Prec!$AQ:$AQ,$C113,BV_Data_An_Prec!$AR:$AR,$L$2)</f>
        <v>0</v>
      </c>
      <c r="R113" s="243"/>
      <c r="S113" s="266">
        <f>L113-Q113</f>
        <v>-55105.340000000004</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f>L114/(L106)</f>
        <v>0.23865825334225121</v>
      </c>
      <c r="K114" s="284">
        <f>IF($J$97=0,0,L114/(J$94+J$95+J96))</f>
        <v>157.96615384615396</v>
      </c>
      <c r="L114" s="266">
        <f>SUMIFS(BV_Data_An_Cour!$AM:$AM,BV_Data_An_Cour!$AP:$AP,$B114,BV_Data_An_Cour!$AQ:$AQ,$C114,BV_Data_An_Cour!$AR:$AR,$L$2)</f>
        <v>4107.1200000000026</v>
      </c>
      <c r="M114" s="238"/>
      <c r="N114" s="286">
        <f t="shared" si="32"/>
        <v>4107.1200000000026</v>
      </c>
      <c r="O114" s="285" t="e">
        <f>Q114/(Q106)</f>
        <v>#DIV/0!</v>
      </c>
      <c r="P114" s="284" t="e">
        <f>IF($J$97=0,0,Q114/(O$94+O$95+O96))</f>
        <v>#DIV/0!</v>
      </c>
      <c r="Q114" s="266">
        <f>SUMIFS(BV_Data_An_Prec!$AM:$AM,BV_Data_An_Prec!$AP:$AP,$B114,BV_Data_An_Prec!$AQ:$AQ,$C114,BV_Data_An_Prec!$AR:$AR,$L$2)</f>
        <v>0</v>
      </c>
      <c r="R114" s="238"/>
      <c r="S114" s="286">
        <f t="shared" ref="S114:S166" si="33">L114-Q114</f>
        <v>4107.1200000000026</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f>IF($J$97=0,0,L115/(J$94+J$95+J96))</f>
        <v>-196.60115384615381</v>
      </c>
      <c r="L115" s="303">
        <f>SUMIFS(BV_Data_An_Cour!$AM:$AM,BV_Data_An_Cour!$AP:$AP,$B115,BV_Data_An_Cour!$AQ:$AQ,$C115,BV_Data_An_Cour!$AR:$AR,$L$2)</f>
        <v>-5111.6299999999992</v>
      </c>
      <c r="M115" s="243"/>
      <c r="N115" s="266">
        <f t="shared" si="32"/>
        <v>-5111.6299999999992</v>
      </c>
      <c r="O115" s="243"/>
      <c r="P115" s="281" t="e">
        <f>IF($J$97=0,0,Q115/(O$94+O$95+O96))</f>
        <v>#DIV/0!</v>
      </c>
      <c r="Q115" s="303">
        <f>SUMIFS(BV_Data_An_Prec!$AM:$AM,BV_Data_An_Prec!$AP:$AP,$B115,BV_Data_An_Prec!$AQ:$AQ,$C115,BV_Data_An_Prec!$AR:$AR,$L$2)</f>
        <v>0</v>
      </c>
      <c r="R115" s="243"/>
      <c r="S115" s="266">
        <f t="shared" si="33"/>
        <v>-5111.6299999999992</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f>IF($J$97=0,0,L116/(J$94+J$95+J96))</f>
        <v>19.16192307692307</v>
      </c>
      <c r="L116" s="266">
        <f>SUMIFS(BV_Data_An_Cour!$AM:$AM,BV_Data_An_Cour!$AP:$AP,$B116,BV_Data_An_Cour!$AQ:$AQ,$C116,BV_Data_An_Cour!$AR:$AR,$L$2)</f>
        <v>498.20999999999981</v>
      </c>
      <c r="M116" s="243"/>
      <c r="N116" s="266">
        <f t="shared" si="32"/>
        <v>498.20999999999981</v>
      </c>
      <c r="O116" s="243"/>
      <c r="P116" s="281" t="e">
        <f>IF($J$97=0,0,Q116/(O$94+O$95+O96))</f>
        <v>#DIV/0!</v>
      </c>
      <c r="Q116" s="266">
        <f>SUMIFS(BV_Data_An_Prec!$AM:$AM,BV_Data_An_Prec!$AP:$AP,$B116,BV_Data_An_Prec!$AQ:$AQ,$C116,BV_Data_An_Prec!$AR:$AR,$L$2)</f>
        <v>0</v>
      </c>
      <c r="R116" s="243"/>
      <c r="S116" s="266">
        <f t="shared" si="33"/>
        <v>498.20999999999981</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f>IF($J$97=0,0,L117/(J$94+J$95+J96))</f>
        <v>0</v>
      </c>
      <c r="L117" s="286">
        <f>SUMIFS(BV_Data_An_Cour!$AM:$AM,BV_Data_An_Cour!$AP:$AP,$B117,BV_Data_An_Cour!$AQ:$AQ,$C117,BV_Data_An_Cour!$AR:$AR,$L$2)</f>
        <v>0</v>
      </c>
      <c r="M117" s="238"/>
      <c r="N117" s="286">
        <f t="shared" si="32"/>
        <v>0</v>
      </c>
      <c r="O117" s="238"/>
      <c r="P117" s="284" t="e">
        <f>IF($J$97=0,0,Q117/(O$94+O$95+O96))</f>
        <v>#DIV/0!</v>
      </c>
      <c r="Q117" s="286">
        <f>SUMIFS(BV_Data_An_Prec!$AM:$AM,BV_Data_An_Prec!$AP:$AP,$B117,BV_Data_An_Prec!$AQ:$AQ,$C117,BV_Data_An_Prec!$AR:$AR,$L$2)</f>
        <v>0</v>
      </c>
      <c r="R117" s="238"/>
      <c r="S117" s="286">
        <f t="shared" si="33"/>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f>IF($J$97=0,0,L118/(J$94+J$95+J96))</f>
        <v>199.74499999999995</v>
      </c>
      <c r="L118" s="266">
        <f>SUMIFS(BV_Data_An_Cour!$AM:$AM,BV_Data_An_Cour!$AP:$AP,$B118,BV_Data_An_Cour!$AQ:$AQ,$C118,BV_Data_An_Cour!$AR:$AR,$L$2)</f>
        <v>5193.369999999999</v>
      </c>
      <c r="M118" s="243"/>
      <c r="N118" s="266">
        <f t="shared" si="32"/>
        <v>5193.369999999999</v>
      </c>
      <c r="O118" s="243"/>
      <c r="P118" s="281" t="e">
        <f>IF($J$97=0,0,Q118/(O$94+O$95+O96))</f>
        <v>#DIV/0!</v>
      </c>
      <c r="Q118" s="266">
        <f>SUMIFS(BV_Data_An_Prec!$AM:$AM,BV_Data_An_Prec!$AP:$AP,$B118,BV_Data_An_Prec!$AQ:$AQ,$C118,BV_Data_An_Prec!$AR:$AR,$L$2)</f>
        <v>0</v>
      </c>
      <c r="R118" s="243"/>
      <c r="S118" s="266">
        <f t="shared" si="33"/>
        <v>5193.369999999999</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f>IF($J$97=0,0,L119/(J$94+J$95+J96))</f>
        <v>574.82384615384558</v>
      </c>
      <c r="L119" s="658">
        <f>SUMIFS(BV_Data_An_Cour!$AM:$AM,BV_Data_An_Cour!$AP:$AP,$B119,BV_Data_An_Cour!$AQ:$AQ,$C119,BV_Data_An_Cour!$AR:$AR,$L$2)</f>
        <v>14945.419999999984</v>
      </c>
      <c r="M119" s="243"/>
      <c r="N119" s="658">
        <f t="shared" si="32"/>
        <v>14945.419999999984</v>
      </c>
      <c r="O119" s="243"/>
      <c r="P119" s="281" t="e">
        <f>IF($J$97=0,0,Q119/(O$94+O$95+O96))</f>
        <v>#DIV/0!</v>
      </c>
      <c r="Q119" s="658">
        <f>SUMIFS(BV_Data_An_Prec!$AM:$AM,BV_Data_An_Prec!$AP:$AP,$B119,BV_Data_An_Prec!$AQ:$AQ,$C119,BV_Data_An_Prec!$AR:$AR,$L$2)</f>
        <v>0</v>
      </c>
      <c r="R119" s="243"/>
      <c r="S119" s="266">
        <f t="shared" si="33"/>
        <v>14945.419999999984</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3129</v>
      </c>
      <c r="D120" s="287"/>
      <c r="E120" s="281" t="e">
        <f t="shared" si="31"/>
        <v>#DIV/0!</v>
      </c>
      <c r="F120" s="244">
        <f>+INDEX('Budget original'!$A$2:$AO$501,MATCH($A120,'Budget original'!$A$2:$A$501,0),MATCH(F$2,'Budget original'!$A$2:$AO$2,0))</f>
        <v>0</v>
      </c>
      <c r="G120" s="288"/>
      <c r="H120" s="281"/>
      <c r="I120" s="244"/>
      <c r="J120" s="243"/>
      <c r="K120" s="281">
        <f>IF($J$97=0,0,L120/(J$94+J$95))</f>
        <v>0</v>
      </c>
      <c r="L120" s="266">
        <f>SUMIFS(BV_Data_An_Cour!$AM:$AM,BV_Data_An_Cour!$AP:$AP,$B120,BV_Data_An_Cour!$AQ:$AQ,$C120,BV_Data_An_Cour!$AR:$AR,$L$2)</f>
        <v>0</v>
      </c>
      <c r="M120" s="243"/>
      <c r="N120" s="266">
        <f t="shared" si="32"/>
        <v>0</v>
      </c>
      <c r="O120" s="243"/>
      <c r="P120" s="281" t="e">
        <f>IF($J$97=0,0,Q120/(O$94+O$95))</f>
        <v>#DIV/0!</v>
      </c>
      <c r="Q120" s="266">
        <f>SUMIFS(BV_Data_An_Prec!$AM:$AM,BV_Data_An_Prec!$AP:$AP,$B120,BV_Data_An_Prec!$AQ:$AQ,$C120,BV_Data_An_Prec!$AR:$AR,$L$2)</f>
        <v>0</v>
      </c>
      <c r="R120" s="243"/>
      <c r="S120" s="266">
        <f t="shared" si="33"/>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3130</v>
      </c>
      <c r="D121" s="287"/>
      <c r="E121" s="281" t="e">
        <f t="shared" si="31"/>
        <v>#DIV/0!</v>
      </c>
      <c r="F121" s="244">
        <f>+INDEX('Budget original'!$A$2:$AO$501,MATCH($A121,'Budget original'!$A$2:$A$501,0),MATCH(F$2,'Budget original'!$A$2:$AO$2,0))</f>
        <v>0</v>
      </c>
      <c r="G121" s="288"/>
      <c r="H121" s="281"/>
      <c r="I121" s="244"/>
      <c r="J121" s="243"/>
      <c r="K121" s="281">
        <f>IF($J$97=0,0,L121/(J$94+J$95))</f>
        <v>0</v>
      </c>
      <c r="L121" s="266">
        <f>SUMIFS(BV_Data_An_Cour!$AM:$AM,BV_Data_An_Cour!$AP:$AP,$B121,BV_Data_An_Cour!$AQ:$AQ,$C121,BV_Data_An_Cour!$AR:$AR,$L$2)</f>
        <v>0</v>
      </c>
      <c r="M121" s="243"/>
      <c r="N121" s="266">
        <f t="shared" si="32"/>
        <v>0</v>
      </c>
      <c r="O121" s="243"/>
      <c r="P121" s="281" t="e">
        <f>IF($J$97=0,0,Q121/(O$94+O$95))</f>
        <v>#DIV/0!</v>
      </c>
      <c r="Q121" s="266">
        <f>SUMIFS(BV_Data_An_Prec!$AM:$AM,BV_Data_An_Prec!$AP:$AP,$B121,BV_Data_An_Prec!$AQ:$AQ,$C121,BV_Data_An_Prec!$AR:$AR,$L$2)</f>
        <v>0</v>
      </c>
      <c r="R121" s="243"/>
      <c r="S121" s="266">
        <f t="shared" si="33"/>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f>IF($J$97=0,0,L122/(J$94+J$95))</f>
        <v>0</v>
      </c>
      <c r="L122" s="246">
        <f>SUMIFS(BV_Data_An_Cour!$AM:$AM,BV_Data_An_Cour!$AP:$AP,$B122,BV_Data_An_Cour!$AQ:$AQ,$C122,BV_Data_An_Cour!$AR:$AR,$L$2)</f>
        <v>0</v>
      </c>
      <c r="M122" s="243"/>
      <c r="N122" s="266">
        <f t="shared" si="32"/>
        <v>0</v>
      </c>
      <c r="O122" s="243"/>
      <c r="P122" s="281" t="e">
        <f>IF($J$97=0,0,Q122/(O$94+O$95))</f>
        <v>#DIV/0!</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f>L123/L$109</f>
        <v>-0.54568200540097556</v>
      </c>
      <c r="L123" s="294">
        <f>SUM(L113:L122)</f>
        <v>-35472.85000000002</v>
      </c>
      <c r="M123" s="296"/>
      <c r="N123" s="294">
        <f t="shared" si="32"/>
        <v>-35472.85000000002</v>
      </c>
      <c r="O123" s="295" t="s">
        <v>115</v>
      </c>
      <c r="P123" s="293" t="e">
        <f>Q123/Q$109</f>
        <v>#DIV/0!</v>
      </c>
      <c r="Q123" s="294">
        <f>SUM(Q113:Q122)</f>
        <v>0</v>
      </c>
      <c r="R123" s="297"/>
      <c r="S123" s="294">
        <f t="shared" si="33"/>
        <v>-35472.85000000002</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f>SUMIFS(BV_Data_An_Cour!$AM:$AM,BV_Data_An_Cour!$AP:$AP,$B124,BV_Data_An_Cour!$AQ:$AQ,$C124,BV_Data_An_Cour!$AR:$AR,$L$2)</f>
        <v>23175.33</v>
      </c>
      <c r="M124" s="243"/>
      <c r="N124" s="266">
        <f t="shared" si="32"/>
        <v>23175.33</v>
      </c>
      <c r="O124" s="243"/>
      <c r="P124" s="38"/>
      <c r="Q124" s="266">
        <f>SUMIFS(BV_Data_An_Prec!$AM:$AM,BV_Data_An_Prec!$AP:$AP,$B124,BV_Data_An_Prec!$AQ:$AQ,$C124,BV_Data_An_Prec!$AR:$AR,$L$2)</f>
        <v>0</v>
      </c>
      <c r="R124" s="243"/>
      <c r="S124" s="266">
        <f t="shared" si="33"/>
        <v>23175.33</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f>SUMIFS(BV_Data_An_Cour!$AM:$AM,BV_Data_An_Cour!$AP:$AP,$B125,BV_Data_An_Cour!$AQ:$AQ,$C125,BV_Data_An_Cour!$AR:$AR,$L$2)</f>
        <v>5598.5500000000029</v>
      </c>
      <c r="M125" s="243"/>
      <c r="N125" s="266">
        <f t="shared" si="32"/>
        <v>5598.5500000000029</v>
      </c>
      <c r="O125" s="243"/>
      <c r="P125" s="38"/>
      <c r="Q125" s="266">
        <f>SUMIFS(BV_Data_An_Prec!$AM:$AM,BV_Data_An_Prec!$AP:$AP,$B125,BV_Data_An_Prec!$AQ:$AQ,$C125,BV_Data_An_Prec!$AR:$AR,$L$2)</f>
        <v>0</v>
      </c>
      <c r="R125" s="243"/>
      <c r="S125" s="266">
        <f t="shared" si="33"/>
        <v>5598.5500000000029</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f>SUMIFS(BV_Data_An_Cour!$AM:$AM,BV_Data_An_Cour!$AP:$AP,$B126,BV_Data_An_Cour!$AQ:$AQ,$C126,BV_Data_An_Cour!$AR:$AR,$L$2)</f>
        <v>1440.7200000000012</v>
      </c>
      <c r="M126" s="233"/>
      <c r="N126" s="303">
        <f t="shared" si="32"/>
        <v>1440.7200000000012</v>
      </c>
      <c r="O126" s="233"/>
      <c r="P126" s="301"/>
      <c r="Q126" s="303">
        <f>SUMIFS(BV_Data_An_Prec!$AM:$AM,BV_Data_An_Prec!$AP:$AP,$B126,BV_Data_An_Prec!$AQ:$AQ,$C126,BV_Data_An_Prec!$AR:$AR,$L$2)</f>
        <v>0</v>
      </c>
      <c r="R126" s="233"/>
      <c r="S126" s="303">
        <f t="shared" si="33"/>
        <v>1440.7200000000012</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f>SUMIFS(BV_Data_An_Cour!$AM:$AM,BV_Data_An_Cour!$AP:$AP,$B131,BV_Data_An_Cour!$AQ:$AQ,$C131,BV_Data_An_Cour!$AR:$AR,$L$2)</f>
        <v>1562.5599999999995</v>
      </c>
      <c r="M131" s="243"/>
      <c r="N131" s="266">
        <f t="shared" si="32"/>
        <v>1562.5599999999995</v>
      </c>
      <c r="O131" s="243"/>
      <c r="P131" s="38"/>
      <c r="Q131" s="266">
        <f>SUMIFS(BV_Data_An_Prec!$AM:$AM,BV_Data_An_Prec!$AP:$AP,$B131,BV_Data_An_Prec!$AQ:$AQ,$C131,BV_Data_An_Prec!$AR:$AR,$L$2)</f>
        <v>0</v>
      </c>
      <c r="R131" s="243"/>
      <c r="S131" s="266">
        <f t="shared" si="33"/>
        <v>1562.5599999999995</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f>SUMIFS(BV_Data_An_Cour!$AM:$AM,BV_Data_An_Cour!$AP:$AP,$B132,BV_Data_An_Cour!$AQ:$AQ,$C132,BV_Data_An_Cour!$AR:$AR,$L$2)</f>
        <v>3383.5400000000009</v>
      </c>
      <c r="M132" s="233"/>
      <c r="N132" s="303">
        <f t="shared" si="32"/>
        <v>3383.5400000000009</v>
      </c>
      <c r="O132" s="233"/>
      <c r="P132" s="301"/>
      <c r="Q132" s="303">
        <f>SUMIFS(BV_Data_An_Prec!$AM:$AM,BV_Data_An_Prec!$AP:$AP,$B132,BV_Data_An_Prec!$AQ:$AQ,$C132,BV_Data_An_Prec!$AR:$AR,$L$2)</f>
        <v>0</v>
      </c>
      <c r="R132" s="233"/>
      <c r="S132" s="303">
        <f t="shared" si="33"/>
        <v>3383.5400000000009</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f>SUMIFS(BV_Data_An_Cour!$AM:$AM,BV_Data_An_Cour!$AP:$AP,$B133,BV_Data_An_Cour!$AQ:$AQ,$C133,BV_Data_An_Cour!$AR:$AR,$L$2)</f>
        <v>643.27999999999884</v>
      </c>
      <c r="M133" s="243"/>
      <c r="N133" s="266">
        <f t="shared" si="32"/>
        <v>643.27999999999884</v>
      </c>
      <c r="O133" s="243"/>
      <c r="P133" s="38"/>
      <c r="Q133" s="266">
        <f>SUMIFS(BV_Data_An_Prec!$AM:$AM,BV_Data_An_Prec!$AP:$AP,$B133,BV_Data_An_Prec!$AQ:$AQ,$C133,BV_Data_An_Prec!$AR:$AR,$L$2)</f>
        <v>0</v>
      </c>
      <c r="R133" s="243"/>
      <c r="S133" s="266">
        <f t="shared" si="33"/>
        <v>643.27999999999884</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f>SUMIFS(BV_Data_An_Cour!$AM:$AM,BV_Data_An_Cour!$AP:$AP,$B134,BV_Data_An_Cour!$AQ:$AQ,$C134,BV_Data_An_Cour!$AR:$AR,$L$2)</f>
        <v>30.069999999999993</v>
      </c>
      <c r="M134" s="243"/>
      <c r="N134" s="266">
        <f t="shared" si="32"/>
        <v>30.069999999999993</v>
      </c>
      <c r="O134" s="243"/>
      <c r="P134" s="38"/>
      <c r="Q134" s="266">
        <f>SUMIFS(BV_Data_An_Prec!$AM:$AM,BV_Data_An_Prec!$AP:$AP,$B134,BV_Data_An_Prec!$AQ:$AQ,$C134,BV_Data_An_Prec!$AR:$AR,$L$2)</f>
        <v>0</v>
      </c>
      <c r="R134" s="243"/>
      <c r="S134" s="266">
        <f t="shared" si="33"/>
        <v>30.069999999999993</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f>L136/L$109</f>
        <v>0.55123837711485879</v>
      </c>
      <c r="L136" s="294">
        <f>SUM(L124:L135)</f>
        <v>35834.050000000003</v>
      </c>
      <c r="M136" s="296"/>
      <c r="N136" s="294">
        <f t="shared" si="32"/>
        <v>35834.050000000003</v>
      </c>
      <c r="O136" s="295" t="s">
        <v>115</v>
      </c>
      <c r="P136" s="293" t="e">
        <f>Q136/Q$109</f>
        <v>#DIV/0!</v>
      </c>
      <c r="Q136" s="294">
        <f>SUM(Q124:Q135)</f>
        <v>0</v>
      </c>
      <c r="R136" s="297"/>
      <c r="S136" s="294">
        <f t="shared" si="33"/>
        <v>35834.050000000003</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f>SUMIFS(BV_Data_An_Cour!$AM:$AM,BV_Data_An_Cour!$AP:$AP,$B139,BV_Data_An_Cour!$AQ:$AQ,$C139,BV_Data_An_Cour!$AR:$AR,$L$2)</f>
        <v>9383.489999999998</v>
      </c>
      <c r="M139" s="238"/>
      <c r="N139" s="286">
        <f t="shared" si="32"/>
        <v>9383.489999999998</v>
      </c>
      <c r="O139" s="238"/>
      <c r="P139" s="304"/>
      <c r="Q139" s="286">
        <f>SUMIFS(BV_Data_An_Prec!$AM:$AM,BV_Data_An_Prec!$AP:$AP,$B139,BV_Data_An_Prec!$AQ:$AQ,$C139,BV_Data_An_Prec!$AR:$AR,$L$2)</f>
        <v>0</v>
      </c>
      <c r="R139" s="238"/>
      <c r="S139" s="286">
        <f t="shared" si="33"/>
        <v>9383.489999999998</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f>SUMIFS(BV_Data_An_Cour!$AM:$AM,BV_Data_An_Cour!$AP:$AP,$B140,BV_Data_An_Cour!$AQ:$AQ,$C140,BV_Data_An_Cour!$AR:$AR,$L$2)</f>
        <v>1645.4099999999999</v>
      </c>
      <c r="M140" s="243"/>
      <c r="N140" s="266">
        <f t="shared" si="32"/>
        <v>1645.4099999999999</v>
      </c>
      <c r="O140" s="243"/>
      <c r="P140" s="38"/>
      <c r="Q140" s="266">
        <f>SUMIFS(BV_Data_An_Prec!$AM:$AM,BV_Data_An_Prec!$AP:$AP,$B140,BV_Data_An_Prec!$AQ:$AQ,$C140,BV_Data_An_Prec!$AR:$AR,$L$2)</f>
        <v>0</v>
      </c>
      <c r="R140" s="243"/>
      <c r="S140" s="266">
        <f t="shared" si="33"/>
        <v>1645.4099999999999</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f>SUMIFS(BV_Data_An_Cour!$AM:$AM,BV_Data_An_Cour!$AP:$AP,$B141,BV_Data_An_Cour!$AQ:$AQ,$C141,BV_Data_An_Cour!$AR:$AR,$L$2)</f>
        <v>300</v>
      </c>
      <c r="M141" s="243"/>
      <c r="N141" s="266">
        <f t="shared" si="32"/>
        <v>300</v>
      </c>
      <c r="O141" s="243"/>
      <c r="P141" s="38"/>
      <c r="Q141" s="266">
        <f>SUMIFS(BV_Data_An_Prec!$AM:$AM,BV_Data_An_Prec!$AP:$AP,$B141,BV_Data_An_Prec!$AQ:$AQ,$C141,BV_Data_An_Prec!$AR:$AR,$L$2)</f>
        <v>0</v>
      </c>
      <c r="R141" s="243"/>
      <c r="S141" s="266">
        <f t="shared" si="33"/>
        <v>300</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f>SUMIFS(BV_Data_An_Cour!$AM:$AM,BV_Data_An_Cour!$AP:$AP,$B142,BV_Data_An_Cour!$AQ:$AQ,$C142,BV_Data_An_Cour!$AR:$AR,$L$2)</f>
        <v>6573.1899999999969</v>
      </c>
      <c r="M142" s="238"/>
      <c r="N142" s="286">
        <f t="shared" si="32"/>
        <v>6573.1899999999969</v>
      </c>
      <c r="O142" s="238"/>
      <c r="P142" s="304"/>
      <c r="Q142" s="286">
        <f>SUMIFS(BV_Data_An_Prec!$AM:$AM,BV_Data_An_Prec!$AP:$AP,$B142,BV_Data_An_Prec!$AQ:$AQ,$C142,BV_Data_An_Prec!$AR:$AR,$L$2)</f>
        <v>0</v>
      </c>
      <c r="R142" s="238"/>
      <c r="S142" s="286">
        <f t="shared" si="33"/>
        <v>6573.1899999999969</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f>SUMIFS(BV_Data_An_Cour!$AM:$AM,BV_Data_An_Cour!$AP:$AP,$B143,BV_Data_An_Cour!$AQ:$AQ,$C143,BV_Data_An_Cour!$AR:$AR,$L$2)</f>
        <v>108.83999999999992</v>
      </c>
      <c r="M143" s="243"/>
      <c r="N143" s="266">
        <f t="shared" si="32"/>
        <v>108.83999999999992</v>
      </c>
      <c r="O143" s="243"/>
      <c r="P143" s="38"/>
      <c r="Q143" s="266">
        <f>SUMIFS(BV_Data_An_Prec!$AM:$AM,BV_Data_An_Prec!$AP:$AP,$B143,BV_Data_An_Prec!$AQ:$AQ,$C143,BV_Data_An_Prec!$AR:$AR,$L$2)</f>
        <v>0</v>
      </c>
      <c r="R143" s="243"/>
      <c r="S143" s="266">
        <f t="shared" si="33"/>
        <v>108.83999999999992</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f>SUMIFS(BV_Data_An_Cour!$AM:$AM,BV_Data_An_Cour!$AP:$AP,$B145,BV_Data_An_Cour!$AQ:$AQ,$C145,BV_Data_An_Cour!$AR:$AR,$L$2)</f>
        <v>908.29</v>
      </c>
      <c r="M145" s="243"/>
      <c r="N145" s="266">
        <f t="shared" si="32"/>
        <v>908.29</v>
      </c>
      <c r="O145" s="243"/>
      <c r="P145" s="38"/>
      <c r="Q145" s="266">
        <f>SUMIFS(BV_Data_An_Prec!$AM:$AM,BV_Data_An_Prec!$AP:$AP,$B145,BV_Data_An_Prec!$AQ:$AQ,$C145,BV_Data_An_Prec!$AR:$AR,$L$2)</f>
        <v>0</v>
      </c>
      <c r="R145" s="243"/>
      <c r="S145" s="266">
        <f t="shared" si="33"/>
        <v>908.29</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f>SUMIFS(BV_Data_An_Cour!$AM:$AM,BV_Data_An_Cour!$AP:$AP,$B146,BV_Data_An_Cour!$AQ:$AQ,$C146,BV_Data_An_Cour!$AR:$AR,$L$2)</f>
        <v>350.63999999999942</v>
      </c>
      <c r="M146" s="243"/>
      <c r="N146" s="266">
        <f t="shared" si="32"/>
        <v>350.63999999999942</v>
      </c>
      <c r="O146" s="243"/>
      <c r="P146" s="38"/>
      <c r="Q146" s="266">
        <f>SUMIFS(BV_Data_An_Prec!$AM:$AM,BV_Data_An_Prec!$AP:$AP,$B146,BV_Data_An_Prec!$AQ:$AQ,$C146,BV_Data_An_Prec!$AR:$AR,$L$2)</f>
        <v>0</v>
      </c>
      <c r="R146" s="243"/>
      <c r="S146" s="266">
        <f t="shared" si="33"/>
        <v>350.63999999999942</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f>SUMIFS(BV_Data_An_Cour!$AM:$AM,BV_Data_An_Cour!$AP:$AP,$B147,BV_Data_An_Cour!$AQ:$AQ,$C147,BV_Data_An_Cour!$AR:$AR,$L$2)</f>
        <v>761.76000000000022</v>
      </c>
      <c r="M147" s="243"/>
      <c r="N147" s="266">
        <f t="shared" si="32"/>
        <v>761.76000000000022</v>
      </c>
      <c r="O147" s="243"/>
      <c r="P147" s="38"/>
      <c r="Q147" s="266">
        <f>SUMIFS(BV_Data_An_Prec!$AM:$AM,BV_Data_An_Prec!$AP:$AP,$B147,BV_Data_An_Prec!$AQ:$AQ,$C147,BV_Data_An_Prec!$AR:$AR,$L$2)</f>
        <v>0</v>
      </c>
      <c r="R147" s="243"/>
      <c r="S147" s="266">
        <f t="shared" si="33"/>
        <v>761.76000000000022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f>SUMIFS(BV_Data_An_Cour!$AM:$AM,BV_Data_An_Cour!$AP:$AP,$B148,BV_Data_An_Cour!$AQ:$AQ,$C148,BV_Data_An_Cour!$AR:$AR,$L$2)</f>
        <v>2491.1799999999985</v>
      </c>
      <c r="M148" s="243"/>
      <c r="N148" s="266">
        <f t="shared" si="32"/>
        <v>2491.1799999999985</v>
      </c>
      <c r="O148" s="243"/>
      <c r="P148" s="38"/>
      <c r="Q148" s="266">
        <f>SUMIFS(BV_Data_An_Prec!$AM:$AM,BV_Data_An_Prec!$AP:$AP,$B148,BV_Data_An_Prec!$AQ:$AQ,$C148,BV_Data_An_Prec!$AR:$AR,$L$2)</f>
        <v>0</v>
      </c>
      <c r="R148" s="243"/>
      <c r="S148" s="266">
        <f t="shared" si="33"/>
        <v>2491.1799999999985</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f>SUMIFS(BV_Data_An_Cour!$AM:$AM,BV_Data_An_Cour!$AP:$AP,$B149,BV_Data_An_Cour!$AQ:$AQ,$C149,BV_Data_An_Cour!$AR:$AR,$L$2)</f>
        <v>0</v>
      </c>
      <c r="M149" s="243"/>
      <c r="N149" s="266">
        <f t="shared" si="32"/>
        <v>0</v>
      </c>
      <c r="O149" s="243"/>
      <c r="P149" s="38"/>
      <c r="Q149" s="266">
        <f>SUMIFS(BV_Data_An_Prec!$AM:$AM,BV_Data_An_Prec!$AP:$AP,$B149,BV_Data_An_Prec!$AQ:$AQ,$C149,BV_Data_An_Prec!$AR:$AR,$L$2)</f>
        <v>0</v>
      </c>
      <c r="R149" s="243"/>
      <c r="S149" s="266">
        <f t="shared" si="33"/>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f>SUMIFS(BV_Data_An_Cour!$AM:$AM,BV_Data_An_Cour!$AP:$AP,$B150,BV_Data_An_Cour!$AQ:$AQ,$C150,BV_Data_An_Cour!$AR:$AR,$L$2)</f>
        <v>292.57000000000016</v>
      </c>
      <c r="M150" s="243"/>
      <c r="N150" s="658">
        <f t="shared" si="32"/>
        <v>292.57000000000016</v>
      </c>
      <c r="O150" s="243"/>
      <c r="P150" s="38"/>
      <c r="Q150" s="658">
        <f>SUMIFS(BV_Data_An_Prec!$AM:$AM,BV_Data_An_Prec!$AP:$AP,$B150,BV_Data_An_Prec!$AQ:$AQ,$C150,BV_Data_An_Prec!$AR:$AR,$L$2)</f>
        <v>0</v>
      </c>
      <c r="R150" s="243"/>
      <c r="S150" s="266">
        <f t="shared" si="33"/>
        <v>292.57000000000016</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f>L154/L$109</f>
        <v>0.35097086519874343</v>
      </c>
      <c r="L154" s="294">
        <f>+SUM(L137:L153)</f>
        <v>22815.369999999995</v>
      </c>
      <c r="M154" s="296"/>
      <c r="N154" s="294">
        <f t="shared" si="32"/>
        <v>22815.369999999995</v>
      </c>
      <c r="O154" s="295" t="s">
        <v>115</v>
      </c>
      <c r="P154" s="293" t="e">
        <f>Q154/Q$109</f>
        <v>#DIV/0!</v>
      </c>
      <c r="Q154" s="294">
        <f>+SUM(Q137:Q153)</f>
        <v>0</v>
      </c>
      <c r="R154" s="297"/>
      <c r="S154" s="294">
        <f t="shared" si="33"/>
        <v>22815.369999999995</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f>L156/L$109</f>
        <v>0.35652723691262667</v>
      </c>
      <c r="L156" s="294">
        <f>L123+L136+L154</f>
        <v>23176.569999999978</v>
      </c>
      <c r="M156" s="296"/>
      <c r="N156" s="294">
        <f t="shared" ref="N156:N163" si="34">L156-F156</f>
        <v>23176.569999999978</v>
      </c>
      <c r="O156" s="295" t="s">
        <v>115</v>
      </c>
      <c r="P156" s="293" t="e">
        <f>Q156/Q$109</f>
        <v>#DIV/0!</v>
      </c>
      <c r="Q156" s="294">
        <f>Q123+Q136+Q154</f>
        <v>0</v>
      </c>
      <c r="R156" s="297"/>
      <c r="S156" s="294">
        <f t="shared" si="33"/>
        <v>23176.569999999978</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f>K160/500</f>
        <v>0</v>
      </c>
      <c r="K160" s="307">
        <f>L160/J97</f>
        <v>0</v>
      </c>
      <c r="L160" s="266">
        <f>-SUMIFS(BV_Data_An_Cour!$AM:$AM,BV_Data_An_Cour!$AP:$AP,$B160,BV_Data_An_Cour!$AQ:$AQ,$C160,BV_Data_An_Cour!$AR:$AR,L$2)</f>
        <v>0</v>
      </c>
      <c r="M160" s="243"/>
      <c r="N160" s="266">
        <f t="shared" si="34"/>
        <v>0</v>
      </c>
      <c r="O160" s="744" t="e">
        <f>P160/500</f>
        <v>#DIV/0!</v>
      </c>
      <c r="P160" s="307" t="e">
        <f>Q160/O97</f>
        <v>#DIV/0!</v>
      </c>
      <c r="Q160" s="266">
        <f>-SUMIFS(BV_Data_An_Prec!$AM:$AM,BV_Data_An_Prec!$AP:$AP,$B160,BV_Data_An_Prec!$AQ:$AQ,$C160,BV_Data_An_Prec!$AR:$AR,Q$2)</f>
        <v>0</v>
      </c>
      <c r="R160" s="243"/>
      <c r="S160" s="266">
        <f t="shared" si="33"/>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33"/>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41829.880000003272</v>
      </c>
      <c r="M166" s="960"/>
      <c r="N166" s="958">
        <f>L166-F166</f>
        <v>41829.880000003272</v>
      </c>
      <c r="O166" s="959"/>
      <c r="P166" s="957"/>
      <c r="Q166" s="958">
        <f>Q109-Q156+Q164</f>
        <v>0</v>
      </c>
      <c r="R166" s="961"/>
      <c r="S166" s="958">
        <f t="shared" si="33"/>
        <v>41829.880000003272</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Octobre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f>-SUMIFS(BV_Data_An_Cour!$AM:$AM,BV_Data_An_Cour!$AS:$AS,"Oui",BV_Data_An_Cour!$AP:$AP,$B173)</f>
        <v>3699685.7099999972</v>
      </c>
      <c r="M173" s="320"/>
      <c r="N173" s="321"/>
      <c r="O173" s="238"/>
      <c r="P173" s="284"/>
      <c r="Q173" s="286">
        <f>-SUMIFS(BV_Data_An_Prec!$AM:$AM,BV_Data_An_Prec!$AS:$AS,"Oui",BV_Data_An_Prec!$AP:$AP,$B173)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f>SUMIFS(BV_Data_An_Cour!$AW:$AW,BV_Data_An_Cour!$AP:$AP,$B175,BV_Data_An_Cour!$AQ:$AQ,$C175,BV_Data_An_Cour!$AY:$AY,J$2)</f>
        <v>3</v>
      </c>
      <c r="K175" s="281">
        <f t="shared" ref="K175:K179" si="35">IF(J175=0,0,L175/J175)</f>
        <v>-7062.6033333341284</v>
      </c>
      <c r="L175" s="266">
        <f>-SUMIFS(BV_Data_An_Cour!$AM:$AM,BV_Data_An_Cour!$AP:$AP,$B175,BV_Data_An_Cour!$AQ:$AQ,$C175,BV_Data_An_Cour!$AR:$AR,$L2)</f>
        <v>-21187.810000002384</v>
      </c>
      <c r="M175" s="245">
        <f>J175-D175</f>
        <v>3</v>
      </c>
      <c r="N175" s="246">
        <f>L175-F175</f>
        <v>-21187.810000002384</v>
      </c>
      <c r="O175" s="245">
        <f>SUMIFS(BV_Data_An_Prec!$AW:$AW,BV_Data_An_Prec!$AP:$AP,$B175,BV_Data_An_Prec!$AQ:$AQ,$C175,BV_Data_An_Prec!$AY:$AY,O$2)</f>
        <v>0</v>
      </c>
      <c r="P175" s="281">
        <f t="shared" ref="P175:P179" si="36">IF(O175=0,0,Q175/O175)</f>
        <v>0</v>
      </c>
      <c r="Q175" s="266">
        <f>-SUMIFS(BV_Data_An_Prec!$AM:$AM,BV_Data_An_Prec!$AP:$AP,$B175,BV_Data_An_Prec!$AQ:$AQ,$C175,BV_Data_An_Prec!$AR:$AR,$L2)</f>
        <v>0</v>
      </c>
      <c r="R175" s="245">
        <f t="shared" ref="R175:R177" si="37">J175-O175</f>
        <v>3</v>
      </c>
      <c r="S175" s="266">
        <f t="shared" ref="S175:S177" si="38">L175-Q175</f>
        <v>-21187.810000002384</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f>SUMIFS(BV_Data_An_Cour!$AW:$AW,BV_Data_An_Cour!$AP:$AP,$B177,BV_Data_An_Cour!$AQ:$AQ,$C177,BV_Data_An_Cour!$AY:$AY,J$2)</f>
        <v>0</v>
      </c>
      <c r="K177" s="281">
        <f t="shared" si="35"/>
        <v>0</v>
      </c>
      <c r="L177" s="266">
        <f>-SUMIFS(BV_Data_An_Cour!$AM:$AM,BV_Data_An_Cour!$AP:$AP,$B177,BV_Data_An_Cour!$AQ:$AQ,$C177,BV_Data_An_Cour!$AR:$AR,$L2)</f>
        <v>0</v>
      </c>
      <c r="M177" s="245">
        <f>J177-D177</f>
        <v>0</v>
      </c>
      <c r="N177" s="246">
        <f>L177-F177</f>
        <v>0</v>
      </c>
      <c r="O177" s="245">
        <f>SUMIFS(BV_Data_An_Prec!$AW:$AW,BV_Data_An_Prec!$AP:$AP,$B177,BV_Data_An_Prec!$AQ:$AQ,$C177,BV_Data_An_Prec!$AY:$AY,O$2)</f>
        <v>0</v>
      </c>
      <c r="P177" s="281">
        <f t="shared" si="36"/>
        <v>0</v>
      </c>
      <c r="Q177" s="266">
        <f>-SUMIFS(BV_Data_An_Prec!$AM:$AM,BV_Data_An_Prec!$AP:$AP,$B177,BV_Data_An_Prec!$AQ:$AQ,$C177,BV_Data_An_Prec!$AR:$AR,$L2)</f>
        <v>0</v>
      </c>
      <c r="R177" s="245">
        <f t="shared" si="37"/>
        <v>0</v>
      </c>
      <c r="S177" s="266">
        <f t="shared" si="38"/>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f>SUMIFS(BV_Data_An_Cour!$AW:$AW,BV_Data_An_Cour!$AP:$AP,$B179,BV_Data_An_Cour!$AQ:$AQ,$C179,BV_Data_An_Cour!$AY:$AY,J$2)</f>
        <v>16</v>
      </c>
      <c r="K179" s="281">
        <f t="shared" si="35"/>
        <v>5156.40625</v>
      </c>
      <c r="L179" s="266">
        <f>-SUMIFS(BV_Data_An_Cour!$AM:$AM,BV_Data_An_Cour!$AP:$AP,$B179,BV_Data_An_Cour!$AQ:$AQ,$C179,BV_Data_An_Cour!$AR:$AR,$L2)</f>
        <v>82502.5</v>
      </c>
      <c r="M179" s="245" t="e">
        <f>J179-D179</f>
        <v>#N/A</v>
      </c>
      <c r="N179" s="246" t="e">
        <f>L179-F179</f>
        <v>#N/A</v>
      </c>
      <c r="O179" s="245">
        <f>SUMIFS(BV_Data_An_Prec!$AW:$AW,BV_Data_An_Prec!$AP:$AP,$B179,BV_Data_An_Prec!$AQ:$AQ,$C179,BV_Data_An_Prec!$AY:$AY,O$2)</f>
        <v>0</v>
      </c>
      <c r="P179" s="281">
        <f t="shared" si="36"/>
        <v>0</v>
      </c>
      <c r="Q179" s="266">
        <f>-SUMIFS(BV_Data_An_Prec!$AM:$AM,BV_Data_An_Prec!$AP:$AP,$B179,BV_Data_An_Prec!$AQ:$AQ,$C179,BV_Data_An_Prec!$AR:$AR,$L2)</f>
        <v>0</v>
      </c>
      <c r="R179" s="245">
        <f>J179-O179</f>
        <v>16</v>
      </c>
      <c r="S179" s="266">
        <f>L179-Q179</f>
        <v>82502.5</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3138</v>
      </c>
      <c r="D182" s="269" t="e">
        <f>D175+D177+D179</f>
        <v>#N/A</v>
      </c>
      <c r="E182" s="270" t="e">
        <f>IF(D182&lt;=0,0,F182/D182)</f>
        <v>#N/A</v>
      </c>
      <c r="F182" s="271" t="e">
        <f>#REF!+#REF!+#REF!</f>
        <v>#REF!</v>
      </c>
      <c r="G182" s="272"/>
      <c r="H182" s="270"/>
      <c r="I182" s="271"/>
      <c r="J182" s="272">
        <f>J175+J177+J179</f>
        <v>19</v>
      </c>
      <c r="K182" s="269">
        <f>IF(J182&lt;=0,0,L182/J182)</f>
        <v>3227.0889473682955</v>
      </c>
      <c r="L182" s="271">
        <f>L175+L179+L177</f>
        <v>61314.689999997616</v>
      </c>
      <c r="M182" s="272" t="e">
        <f>J182-D182</f>
        <v>#N/A</v>
      </c>
      <c r="N182" s="271" t="e">
        <f>L182-F182</f>
        <v>#REF!</v>
      </c>
      <c r="O182" s="272">
        <f>O175+O177+O179</f>
        <v>0</v>
      </c>
      <c r="P182" s="269">
        <f>IF(O182&lt;=0,0,Q182/O182)</f>
        <v>0</v>
      </c>
      <c r="Q182" s="271">
        <f>Q175+Q179+Q177</f>
        <v>0</v>
      </c>
      <c r="R182" s="272">
        <f>J182-O182</f>
        <v>19</v>
      </c>
      <c r="S182" s="271">
        <f>L182-Q182</f>
        <v>61314.689999997616</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#N/A</v>
      </c>
      <c r="F186" s="244">
        <f>+INDEX('Budget original'!$A$2:$AO$501,MATCH($A186,'Budget original'!$A$2:$A$501,0),MATCH(F$2,'Budget original'!$A$2:$AO$2,0))</f>
        <v>0</v>
      </c>
      <c r="G186" s="282"/>
      <c r="H186" s="281"/>
      <c r="I186" s="244"/>
      <c r="J186" s="282">
        <f>L186/L182</f>
        <v>0</v>
      </c>
      <c r="K186" s="281">
        <f>IF($J$97=0,0,L186/(J$94+J$95+J182))</f>
        <v>0</v>
      </c>
      <c r="L186" s="266">
        <f>SUMIFS(BV_Data_An_Cour!$AM:$AM,BV_Data_An_Cour!$AP:$AP,$B186,BV_Data_An_Cour!$AQ:$AQ,$C186,BV_Data_An_Cour!$AR:$AR,$L$2)</f>
        <v>0</v>
      </c>
      <c r="M186" s="243"/>
      <c r="N186" s="266">
        <f t="shared" ref="N186:N227" si="40">L186-F186</f>
        <v>0</v>
      </c>
      <c r="O186" s="282" t="e">
        <f>Q186/Q182</f>
        <v>#DIV/0!</v>
      </c>
      <c r="P186" s="281" t="e">
        <f>IF($J$97=0,0,Q186/(O$94+O$95+O182))</f>
        <v>#DIV/0!</v>
      </c>
      <c r="Q186" s="266">
        <f>SUMIFS(BV_Data_An_Prec!$AM:$AM,BV_Data_An_Prec!$AP:$AP,$B186,BV_Data_An_Prec!$AQ:$AQ,$C186,BV_Data_An_Prec!$AR:$AR,$L$2)</f>
        <v>0</v>
      </c>
      <c r="R186" s="243"/>
      <c r="S186" s="266">
        <f t="shared" ref="S186:S227" si="41">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#N/A</v>
      </c>
      <c r="F187" s="240">
        <f>+INDEX('Budget original'!$A$2:$AO$501,MATCH($A187,'Budget original'!$A$2:$A$501,0),MATCH(F$2,'Budget original'!$A$2:$AO$2,0))</f>
        <v>0</v>
      </c>
      <c r="G187" s="285"/>
      <c r="H187" s="284"/>
      <c r="I187" s="240"/>
      <c r="J187" s="285">
        <f>L187/(L182)</f>
        <v>0</v>
      </c>
      <c r="K187" s="284">
        <f>IF($J$97=0,0,L187/(J$94+J$95+J182))</f>
        <v>0</v>
      </c>
      <c r="L187" s="266">
        <f>SUMIFS(BV_Data_An_Cour!$AM:$AM,BV_Data_An_Cour!$AP:$AP,$B187,BV_Data_An_Cour!$AQ:$AQ,$C187,BV_Data_An_Cour!$AR:$AR,$L$2)</f>
        <v>0</v>
      </c>
      <c r="M187" s="238"/>
      <c r="N187" s="286">
        <f t="shared" si="40"/>
        <v>0</v>
      </c>
      <c r="O187" s="285" t="e">
        <f>Q187/(Q182)</f>
        <v>#DIV/0!</v>
      </c>
      <c r="P187" s="284" t="e">
        <f>IF($J$97=0,0,Q187/(O$94+O$95+O182))</f>
        <v>#DIV/0!</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#N/A</v>
      </c>
      <c r="F188" s="244">
        <f>+INDEX('Budget original'!$A$2:$AO$501,MATCH($A188,'Budget original'!$A$2:$A$501,0),MATCH(F$2,'Budget original'!$A$2:$AO$2,0))</f>
        <v>0</v>
      </c>
      <c r="G188" s="288"/>
      <c r="H188" s="281"/>
      <c r="I188" s="244"/>
      <c r="J188" s="243"/>
      <c r="K188" s="281">
        <f>IF($J$97=0,0,L188/(J$94+J$95+J182))</f>
        <v>23.948888888888906</v>
      </c>
      <c r="L188" s="303">
        <f>SUMIFS(BV_Data_An_Cour!$AM:$AM,BV_Data_An_Cour!$AP:$AP,$B188,BV_Data_An_Cour!$AQ:$AQ,$C188,BV_Data_An_Cour!$AR:$AR,$L$2)</f>
        <v>1077.7000000000007</v>
      </c>
      <c r="M188" s="243"/>
      <c r="N188" s="266">
        <f t="shared" si="40"/>
        <v>1077.7000000000007</v>
      </c>
      <c r="O188" s="243"/>
      <c r="P188" s="281" t="e">
        <f>IF($J$97=0,0,Q188/(O$94+O$95+O182))</f>
        <v>#DIV/0!</v>
      </c>
      <c r="Q188" s="303">
        <f>SUMIFS(BV_Data_An_Prec!$AM:$AM,BV_Data_An_Prec!$AP:$AP,$B188,BV_Data_An_Prec!$AQ:$AQ,$C188,BV_Data_An_Prec!$AR:$AR,$L$2)</f>
        <v>0</v>
      </c>
      <c r="R188" s="243"/>
      <c r="S188" s="266">
        <f t="shared" si="41"/>
        <v>1077.7000000000007</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#N/A</v>
      </c>
      <c r="F189" s="244">
        <f>+INDEX('Budget original'!$A$2:$AO$501,MATCH($A189,'Budget original'!$A$2:$A$501,0),MATCH(F$2,'Budget original'!$A$2:$AO$2,0))</f>
        <v>0</v>
      </c>
      <c r="G189" s="288"/>
      <c r="H189" s="281"/>
      <c r="I189" s="244"/>
      <c r="J189" s="243"/>
      <c r="K189" s="281">
        <f>IF($J$97=0,0,L189/(J$94+J$95+J182))</f>
        <v>0</v>
      </c>
      <c r="L189" s="266">
        <f>SUMIFS(BV_Data_An_Cour!$AM:$AM,BV_Data_An_Cour!$AP:$AP,$B189,BV_Data_An_Cour!$AQ:$AQ,$C189,BV_Data_An_Cour!$AR:$AR,$L$2)</f>
        <v>0</v>
      </c>
      <c r="M189" s="243"/>
      <c r="N189" s="266">
        <f t="shared" si="40"/>
        <v>0</v>
      </c>
      <c r="O189" s="243"/>
      <c r="P189" s="281" t="e">
        <f>IF($J$97=0,0,Q189/(O$94+O$95+O182))</f>
        <v>#DIV/0!</v>
      </c>
      <c r="Q189" s="266">
        <f>SUMIFS(BV_Data_An_Prec!$AM:$AM,BV_Data_An_Prec!$AP:$AP,$B189,BV_Data_An_Prec!$AQ:$AQ,$C189,BV_Data_An_Prec!$AR:$AR,$L$2)</f>
        <v>0</v>
      </c>
      <c r="R189" s="243"/>
      <c r="S189" s="266">
        <f t="shared" si="41"/>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#N/A</v>
      </c>
      <c r="F190" s="240">
        <f>+INDEX('Budget original'!$A$2:$AO$501,MATCH($A190,'Budget original'!$A$2:$A$501,0),MATCH(F$2,'Budget original'!$A$2:$AO$2,0))</f>
        <v>0</v>
      </c>
      <c r="G190" s="290"/>
      <c r="H190" s="284"/>
      <c r="I190" s="240"/>
      <c r="J190" s="238"/>
      <c r="K190" s="284">
        <f>IF($J$97=0,0,L190/(J$94+J$95+J182))</f>
        <v>0</v>
      </c>
      <c r="L190" s="286">
        <f>SUMIFS(BV_Data_An_Cour!$AM:$AM,BV_Data_An_Cour!$AP:$AP,$B190,BV_Data_An_Cour!$AQ:$AQ,$C190,BV_Data_An_Cour!$AR:$AR,$L$2)</f>
        <v>0</v>
      </c>
      <c r="M190" s="238"/>
      <c r="N190" s="286">
        <f t="shared" si="40"/>
        <v>0</v>
      </c>
      <c r="O190" s="238"/>
      <c r="P190" s="284" t="e">
        <f>IF($J$97=0,0,Q190/(O$94+O$95+O182))</f>
        <v>#DIV/0!</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#N/A</v>
      </c>
      <c r="F191" s="244">
        <f>+INDEX('Budget original'!$A$2:$AO$501,MATCH($A191,'Budget original'!$A$2:$A$501,0),MATCH(F$2,'Budget original'!$A$2:$AO$2,0))</f>
        <v>0</v>
      </c>
      <c r="G191" s="288"/>
      <c r="H191" s="281"/>
      <c r="I191" s="244"/>
      <c r="J191" s="243"/>
      <c r="K191" s="281">
        <f>IF($J$97=0,0,L191/(J$94+J$95+J182))</f>
        <v>0</v>
      </c>
      <c r="L191" s="266">
        <f>SUMIFS(BV_Data_An_Cour!$AM:$AM,BV_Data_An_Cour!$AP:$AP,$B191,BV_Data_An_Cour!$AQ:$AQ,$C191,BV_Data_An_Cour!$AR:$AR,$L$2)</f>
        <v>0</v>
      </c>
      <c r="M191" s="243"/>
      <c r="N191" s="266">
        <f t="shared" si="40"/>
        <v>0</v>
      </c>
      <c r="O191" s="243"/>
      <c r="P191" s="281" t="e">
        <f>IF($J$97=0,0,Q191/(O$94+O$95+O182))</f>
        <v>#DIV/0!</v>
      </c>
      <c r="Q191" s="266">
        <f>SUMIFS(BV_Data_An_Prec!$AM:$AM,BV_Data_An_Prec!$AP:$AP,$B191,BV_Data_An_Prec!$AQ:$AQ,$C191,BV_Data_An_Prec!$AR:$AR,$L$2)</f>
        <v>0</v>
      </c>
      <c r="R191" s="243"/>
      <c r="S191" s="266">
        <f t="shared" si="41"/>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#N/A</v>
      </c>
      <c r="F192" s="244">
        <f>+INDEX('Budget original'!$A$2:$AO$501,MATCH($A192,'Budget original'!$A$2:$A$501,0),MATCH(F$2,'Budget original'!$A$2:$AO$2,0))</f>
        <v>0</v>
      </c>
      <c r="G192" s="288"/>
      <c r="H192" s="281"/>
      <c r="I192" s="244"/>
      <c r="J192" s="243"/>
      <c r="K192" s="281">
        <f>IF($J$97=0,0,L192/(J$94+J$95+J182))</f>
        <v>23.687999999999818</v>
      </c>
      <c r="L192" s="658">
        <f>SUMIFS(BV_Data_An_Cour!$AM:$AM,BV_Data_An_Cour!$AP:$AP,$B192,BV_Data_An_Cour!$AQ:$AQ,$C192,BV_Data_An_Cour!$AR:$AR,$L$2)</f>
        <v>1065.9599999999919</v>
      </c>
      <c r="M192" s="243"/>
      <c r="N192" s="658">
        <f t="shared" si="40"/>
        <v>1065.9599999999919</v>
      </c>
      <c r="O192" s="243"/>
      <c r="P192" s="281" t="e">
        <f>IF($J$97=0,0,Q192/(O$94+O$95+O182))</f>
        <v>#DIV/0!</v>
      </c>
      <c r="Q192" s="658">
        <f>SUMIFS(BV_Data_An_Prec!$AM:$AM,BV_Data_An_Prec!$AP:$AP,$B192,BV_Data_An_Prec!$AQ:$AQ,$C192,BV_Data_An_Prec!$AR:$AR,$L$2)</f>
        <v>0</v>
      </c>
      <c r="R192" s="243"/>
      <c r="S192" s="266">
        <f t="shared" si="41"/>
        <v>1065.9599999999919</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f>IF($J$97=0,0,L193/(J$94+J$95))</f>
        <v>0</v>
      </c>
      <c r="L193" s="246">
        <f>SUMIFS(BV_Data_An_Cour!$AM:$AM,BV_Data_An_Cour!$AP:$AP,$B193,BV_Data_An_Cour!$AQ:$AQ,$C193,BV_Data_An_Cour!$AR:$AR,$L$2)</f>
        <v>0</v>
      </c>
      <c r="M193" s="243"/>
      <c r="N193" s="266">
        <f t="shared" si="40"/>
        <v>0</v>
      </c>
      <c r="O193" s="243"/>
      <c r="P193" s="281" t="e">
        <f>IF($J$97=0,0,Q193/(O$94+O$95))</f>
        <v>#DIV/0!</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f>IF($J$97=0,0,L194/(J$94+J$95))</f>
        <v>0</v>
      </c>
      <c r="L194" s="246">
        <f>SUMIFS(BV_Data_An_Cour!$AM:$AM,BV_Data_An_Cour!$AP:$AP,$B194,BV_Data_An_Cour!$AQ:$AQ,$C194,BV_Data_An_Cour!$AR:$AR,$L$2)</f>
        <v>0</v>
      </c>
      <c r="M194" s="243"/>
      <c r="N194" s="266">
        <f t="shared" si="40"/>
        <v>0</v>
      </c>
      <c r="O194" s="243"/>
      <c r="P194" s="281" t="e">
        <f>IF($J$97=0,0,Q194/(O$94+O$95))</f>
        <v>#DIV/0!</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f>IF($J$97=0,0,L195/(J$94+J$95))</f>
        <v>0</v>
      </c>
      <c r="L195" s="246">
        <f>SUMIFS(BV_Data_An_Cour!$AM:$AM,BV_Data_An_Cour!$AP:$AP,$B195,BV_Data_An_Cour!$AQ:$AQ,$C195,BV_Data_An_Cour!$AR:$AR,$L$2)</f>
        <v>0</v>
      </c>
      <c r="M195" s="243"/>
      <c r="N195" s="266">
        <f t="shared" si="40"/>
        <v>0</v>
      </c>
      <c r="O195" s="243"/>
      <c r="P195" s="281" t="e">
        <f>IF($J$97=0,0,Q195/(O$94+O$95))</f>
        <v>#DIV/0!</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f>L196/L$109</f>
        <v>3.2976112370386099E-2</v>
      </c>
      <c r="L196" s="294">
        <f>SUM(L186:L195)</f>
        <v>2143.6599999999926</v>
      </c>
      <c r="M196" s="296"/>
      <c r="N196" s="294">
        <f t="shared" si="40"/>
        <v>2143.6599999999926</v>
      </c>
      <c r="O196" s="295" t="s">
        <v>115</v>
      </c>
      <c r="P196" s="293" t="e">
        <f>Q196/Q$109</f>
        <v>#DIV/0!</v>
      </c>
      <c r="Q196" s="294">
        <f>SUM(Q186:Q195)</f>
        <v>0</v>
      </c>
      <c r="R196" s="297"/>
      <c r="S196" s="294">
        <f t="shared" si="41"/>
        <v>2143.6599999999926</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f>SUMIFS(BV_Data_An_Cour!$AM:$AM,BV_Data_An_Cour!$AP:$AP,$B197,BV_Data_An_Cour!$AQ:$AQ,$C197,BV_Data_An_Cour!$AR:$AR,$L$2)</f>
        <v>1000</v>
      </c>
      <c r="M197" s="243"/>
      <c r="N197" s="266">
        <f t="shared" si="40"/>
        <v>1000</v>
      </c>
      <c r="O197" s="243"/>
      <c r="P197" s="38"/>
      <c r="Q197" s="266">
        <f>SUMIFS(BV_Data_An_Prec!$AM:$AM,BV_Data_An_Prec!$AP:$AP,$B197,BV_Data_An_Prec!$AQ:$AQ,$C197,BV_Data_An_Prec!$AR:$AR,$L$2)</f>
        <v>0</v>
      </c>
      <c r="R197" s="243"/>
      <c r="S197" s="266">
        <f t="shared" si="41"/>
        <v>1000</v>
      </c>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f>SUMIFS(BV_Data_An_Cour!$AM:$AM,BV_Data_An_Cour!$AP:$AP,$B198,BV_Data_An_Cour!$AQ:$AQ,$C198,BV_Data_An_Cour!$AR:$AR,$L$2)</f>
        <v>18504.320000000007</v>
      </c>
      <c r="M198" s="243"/>
      <c r="N198" s="266">
        <f t="shared" si="40"/>
        <v>18504.320000000007</v>
      </c>
      <c r="O198" s="243"/>
      <c r="P198" s="38"/>
      <c r="Q198" s="266">
        <f>SUMIFS(BV_Data_An_Prec!$AM:$AM,BV_Data_An_Prec!$AP:$AP,$B198,BV_Data_An_Prec!$AQ:$AQ,$C198,BV_Data_An_Prec!$AR:$AR,$L$2)</f>
        <v>0</v>
      </c>
      <c r="R198" s="243"/>
      <c r="S198" s="266">
        <f t="shared" si="41"/>
        <v>18504.320000000007</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f>SUMIFS(BV_Data_An_Cour!$AM:$AM,BV_Data_An_Cour!$AP:$AP,$B199,BV_Data_An_Cour!$AQ:$AQ,$C199,BV_Data_An_Cour!$AR:$AR,$L$2)</f>
        <v>-50135.229999999981</v>
      </c>
      <c r="M199" s="233"/>
      <c r="N199" s="303">
        <f t="shared" si="40"/>
        <v>-50135.229999999981</v>
      </c>
      <c r="O199" s="233"/>
      <c r="P199" s="301"/>
      <c r="Q199" s="303">
        <f>SUMIFS(BV_Data_An_Prec!$AM:$AM,BV_Data_An_Prec!$AP:$AP,$B199,BV_Data_An_Prec!$AQ:$AQ,$C199,BV_Data_An_Prec!$AR:$AR,$L$2)</f>
        <v>0</v>
      </c>
      <c r="R199" s="233"/>
      <c r="S199" s="303">
        <f t="shared" si="41"/>
        <v>-50135.229999999981</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f>SUMIFS(BV_Data_An_Cour!$AM:$AM,BV_Data_An_Cour!$AP:$AP,$B204,BV_Data_An_Cour!$AQ:$AQ,$C204,BV_Data_An_Cour!$AR:$AR,$L$2)</f>
        <v>3482.9399999999987</v>
      </c>
      <c r="M204" s="243"/>
      <c r="N204" s="266">
        <f t="shared" si="40"/>
        <v>3482.9399999999987</v>
      </c>
      <c r="O204" s="243"/>
      <c r="P204" s="38"/>
      <c r="Q204" s="266">
        <f>SUMIFS(BV_Data_An_Prec!$AM:$AM,BV_Data_An_Prec!$AP:$AP,$B204,BV_Data_An_Prec!$AQ:$AQ,$C204,BV_Data_An_Prec!$AR:$AR,$L$2)</f>
        <v>0</v>
      </c>
      <c r="R204" s="243"/>
      <c r="S204" s="266">
        <f t="shared" si="41"/>
        <v>3482.9399999999987</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f>SUMIFS(BV_Data_An_Cour!$AM:$AM,BV_Data_An_Cour!$AP:$AP,$B205,BV_Data_An_Cour!$AQ:$AQ,$C205,BV_Data_An_Cour!$AR:$AR,$L$2)</f>
        <v>3595.7999999999956</v>
      </c>
      <c r="M205" s="233"/>
      <c r="N205" s="303">
        <f t="shared" si="40"/>
        <v>3595.7999999999956</v>
      </c>
      <c r="O205" s="233"/>
      <c r="P205" s="301"/>
      <c r="Q205" s="303">
        <f>SUMIFS(BV_Data_An_Prec!$AM:$AM,BV_Data_An_Prec!$AP:$AP,$B205,BV_Data_An_Prec!$AQ:$AQ,$C205,BV_Data_An_Prec!$AR:$AR,$L$2)</f>
        <v>0</v>
      </c>
      <c r="R205" s="233"/>
      <c r="S205" s="303">
        <f t="shared" si="41"/>
        <v>3595.7999999999956</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f>SUMIFS(BV_Data_An_Cour!$AM:$AM,BV_Data_An_Cour!$AP:$AP,$B206,BV_Data_An_Cour!$AQ:$AQ,$C206,BV_Data_An_Cour!$AR:$AR,$L$2)</f>
        <v>324.60999999999876</v>
      </c>
      <c r="M206" s="243"/>
      <c r="N206" s="266">
        <f t="shared" si="40"/>
        <v>324.60999999999876</v>
      </c>
      <c r="O206" s="243"/>
      <c r="P206" s="38"/>
      <c r="Q206" s="266">
        <f>SUMIFS(BV_Data_An_Prec!$AM:$AM,BV_Data_An_Prec!$AP:$AP,$B206,BV_Data_An_Prec!$AQ:$AQ,$C206,BV_Data_An_Prec!$AR:$AR,$L$2)</f>
        <v>0</v>
      </c>
      <c r="R206" s="243"/>
      <c r="S206" s="266">
        <f t="shared" si="41"/>
        <v>324.60999999999876</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f>SUMIFS(BV_Data_An_Cour!$AM:$AM,BV_Data_An_Cour!$AP:$AP,$B207,BV_Data_An_Cour!$AQ:$AQ,$C207,BV_Data_An_Cour!$AR:$AR,$L$2)</f>
        <v>0</v>
      </c>
      <c r="M207" s="243"/>
      <c r="N207" s="266">
        <f t="shared" si="40"/>
        <v>0</v>
      </c>
      <c r="O207" s="243"/>
      <c r="P207" s="38"/>
      <c r="Q207" s="266">
        <f>SUMIFS(BV_Data_An_Prec!$AM:$AM,BV_Data_An_Prec!$AP:$AP,$B207,BV_Data_An_Prec!$AQ:$AQ,$C207,BV_Data_An_Prec!$AR:$AR,$L$2)</f>
        <v>0</v>
      </c>
      <c r="R207" s="243"/>
      <c r="S207" s="266">
        <f t="shared" si="4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f>L209/L$109</f>
        <v>-0.35731162061608995</v>
      </c>
      <c r="L209" s="294">
        <f>SUM(L197:L208)</f>
        <v>-23227.559999999983</v>
      </c>
      <c r="M209" s="296"/>
      <c r="N209" s="294">
        <f t="shared" si="40"/>
        <v>-23227.559999999983</v>
      </c>
      <c r="O209" s="295" t="s">
        <v>115</v>
      </c>
      <c r="P209" s="293" t="e">
        <f>Q209/Q$109</f>
        <v>#DIV/0!</v>
      </c>
      <c r="Q209" s="294">
        <f>SUM(Q197:Q208)</f>
        <v>0</v>
      </c>
      <c r="R209" s="297"/>
      <c r="S209" s="294">
        <f t="shared" si="41"/>
        <v>-23227.559999999983</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f>SUMIFS(BV_Data_An_Cour!$AM:$AM,BV_Data_An_Cour!$AP:$AP,$B212,BV_Data_An_Cour!$AQ:$AQ,$C212,BV_Data_An_Cour!$AR:$AR,$L$2)</f>
        <v>0</v>
      </c>
      <c r="M212" s="238"/>
      <c r="N212" s="286">
        <f t="shared" si="40"/>
        <v>0</v>
      </c>
      <c r="O212" s="238"/>
      <c r="P212" s="304"/>
      <c r="Q212" s="286">
        <f>SUMIFS(BV_Data_An_Prec!$AM:$AM,BV_Data_An_Prec!$AP:$AP,$B212,BV_Data_An_Prec!$AQ:$AQ,$C212,BV_Data_An_Prec!$AR:$AR,$L$2)</f>
        <v>0</v>
      </c>
      <c r="R212" s="238"/>
      <c r="S212" s="286">
        <f t="shared" si="4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f>SUMIFS(BV_Data_An_Cour!$AM:$AM,BV_Data_An_Cour!$AP:$AP,$B213,BV_Data_An_Cour!$AQ:$AQ,$C213,BV_Data_An_Cour!$AR:$AR,$L$2)</f>
        <v>0</v>
      </c>
      <c r="M213" s="243"/>
      <c r="N213" s="266">
        <f t="shared" si="40"/>
        <v>0</v>
      </c>
      <c r="O213" s="243"/>
      <c r="P213" s="38"/>
      <c r="Q213" s="266">
        <f>SUMIFS(BV_Data_An_Prec!$AM:$AM,BV_Data_An_Prec!$AP:$AP,$B213,BV_Data_An_Prec!$AQ:$AQ,$C213,BV_Data_An_Prec!$AR:$AR,$L$2)</f>
        <v>0</v>
      </c>
      <c r="R213" s="243"/>
      <c r="S213" s="266">
        <f t="shared" si="4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f>SUMIFS(BV_Data_An_Cour!$AM:$AM,BV_Data_An_Cour!$AP:$AP,$B214,BV_Data_An_Cour!$AQ:$AQ,$C214,BV_Data_An_Cour!$AR:$AR,$L$2)</f>
        <v>0</v>
      </c>
      <c r="M214" s="243"/>
      <c r="N214" s="266">
        <f t="shared" si="40"/>
        <v>0</v>
      </c>
      <c r="O214" s="243"/>
      <c r="P214" s="38"/>
      <c r="Q214" s="266">
        <f>SUMIFS(BV_Data_An_Prec!$AM:$AM,BV_Data_An_Prec!$AP:$AP,$B214,BV_Data_An_Prec!$AQ:$AQ,$C214,BV_Data_An_Prec!$AR:$AR,$L$2)</f>
        <v>0</v>
      </c>
      <c r="R214" s="243"/>
      <c r="S214" s="266">
        <f t="shared" si="4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f>SUMIFS(BV_Data_An_Cour!$AM:$AM,BV_Data_An_Cour!$AP:$AP,$B215,BV_Data_An_Cour!$AQ:$AQ,$C215,BV_Data_An_Cour!$AR:$AR,$L$2)</f>
        <v>0</v>
      </c>
      <c r="M215" s="238"/>
      <c r="N215" s="286">
        <f t="shared" si="40"/>
        <v>0</v>
      </c>
      <c r="O215" s="238"/>
      <c r="P215" s="304"/>
      <c r="Q215" s="286">
        <f>SUMIFS(BV_Data_An_Prec!$AM:$AM,BV_Data_An_Prec!$AP:$AP,$B215,BV_Data_An_Prec!$AQ:$AQ,$C215,BV_Data_An_Prec!$AR:$AR,$L$2)</f>
        <v>0</v>
      </c>
      <c r="R215" s="238"/>
      <c r="S215" s="286">
        <f t="shared" si="41"/>
        <v>0</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f>SUMIFS(BV_Data_An_Cour!$AM:$AM,BV_Data_An_Cour!$AP:$AP,$B216,BV_Data_An_Cour!$AQ:$AQ,$C216,BV_Data_An_Cour!$AR:$AR,$L$2)</f>
        <v>0</v>
      </c>
      <c r="M216" s="243"/>
      <c r="N216" s="266">
        <f t="shared" si="40"/>
        <v>0</v>
      </c>
      <c r="O216" s="243"/>
      <c r="P216" s="38"/>
      <c r="Q216" s="266">
        <f>SUMIFS(BV_Data_An_Prec!$AM:$AM,BV_Data_An_Prec!$AP:$AP,$B216,BV_Data_An_Prec!$AQ:$AQ,$C216,BV_Data_An_Prec!$AR:$AR,$L$2)</f>
        <v>0</v>
      </c>
      <c r="R216" s="243"/>
      <c r="S216" s="266">
        <f t="shared" si="4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f>SUMIFS(BV_Data_An_Cour!$AM:$AM,BV_Data_An_Cour!$AP:$AP,$B218,BV_Data_An_Cour!$AQ:$AQ,$C218,BV_Data_An_Cour!$AR:$AR,$L$2)</f>
        <v>-7000</v>
      </c>
      <c r="M218" s="243"/>
      <c r="N218" s="266">
        <f t="shared" si="40"/>
        <v>-7000</v>
      </c>
      <c r="O218" s="243"/>
      <c r="P218" s="38"/>
      <c r="Q218" s="266">
        <f>SUMIFS(BV_Data_An_Prec!$AM:$AM,BV_Data_An_Prec!$AP:$AP,$B218,BV_Data_An_Prec!$AQ:$AQ,$C218,BV_Data_An_Prec!$AR:$AR,$L$2)</f>
        <v>0</v>
      </c>
      <c r="R218" s="243"/>
      <c r="S218" s="266">
        <f t="shared" si="41"/>
        <v>-7000</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f>SUMIFS(BV_Data_An_Cour!$AM:$AM,BV_Data_An_Cour!$AP:$AP,$B219,BV_Data_An_Cour!$AQ:$AQ,$C219,BV_Data_An_Cour!$AR:$AR,$L$2)</f>
        <v>0</v>
      </c>
      <c r="M219" s="243"/>
      <c r="N219" s="266">
        <f t="shared" si="40"/>
        <v>0</v>
      </c>
      <c r="O219" s="243"/>
      <c r="P219" s="38"/>
      <c r="Q219" s="266">
        <f>SUMIFS(BV_Data_An_Prec!$AM:$AM,BV_Data_An_Prec!$AP:$AP,$B219,BV_Data_An_Prec!$AQ:$AQ,$C219,BV_Data_An_Prec!$AR:$AR,$L$2)</f>
        <v>0</v>
      </c>
      <c r="R219" s="243"/>
      <c r="S219" s="266">
        <f t="shared" si="4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f>SUMIFS(BV_Data_An_Cour!$AM:$AM,BV_Data_An_Cour!$AP:$AP,$B220,BV_Data_An_Cour!$AQ:$AQ,$C220,BV_Data_An_Cour!$AR:$AR,$L$2)</f>
        <v>0</v>
      </c>
      <c r="M220" s="243"/>
      <c r="N220" s="266">
        <f t="shared" si="40"/>
        <v>0</v>
      </c>
      <c r="O220" s="243"/>
      <c r="P220" s="38"/>
      <c r="Q220" s="266">
        <f>SUMIFS(BV_Data_An_Prec!$AM:$AM,BV_Data_An_Prec!$AP:$AP,$B220,BV_Data_An_Prec!$AQ:$AQ,$C220,BV_Data_An_Prec!$AR:$AR,$L$2)</f>
        <v>0</v>
      </c>
      <c r="R220" s="243"/>
      <c r="S220" s="266">
        <f t="shared" si="41"/>
        <v>0</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f>SUMIFS(BV_Data_An_Cour!$AM:$AM,BV_Data_An_Cour!$AP:$AP,$B221,BV_Data_An_Cour!$AQ:$AQ,$C221,BV_Data_An_Cour!$AR:$AR,$L$2)</f>
        <v>0</v>
      </c>
      <c r="M221" s="243"/>
      <c r="N221" s="266">
        <f t="shared" si="40"/>
        <v>0</v>
      </c>
      <c r="O221" s="243"/>
      <c r="P221" s="38"/>
      <c r="Q221" s="266">
        <f>SUMIFS(BV_Data_An_Prec!$AM:$AM,BV_Data_An_Prec!$AP:$AP,$B221,BV_Data_An_Prec!$AQ:$AQ,$C221,BV_Data_An_Prec!$AR:$AR,$L$2)</f>
        <v>0</v>
      </c>
      <c r="R221" s="243"/>
      <c r="S221" s="266">
        <f t="shared" si="4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f>SUMIFS(BV_Data_An_Cour!$AM:$AM,BV_Data_An_Cour!$AP:$AP,$B222,BV_Data_An_Cour!$AQ:$AQ,$C222,BV_Data_An_Cour!$AR:$AR,$L$2)</f>
        <v>0</v>
      </c>
      <c r="M222" s="243"/>
      <c r="N222" s="266">
        <f t="shared" si="40"/>
        <v>0</v>
      </c>
      <c r="O222" s="243"/>
      <c r="P222" s="38"/>
      <c r="Q222" s="266">
        <f>SUMIFS(BV_Data_An_Prec!$AM:$AM,BV_Data_An_Prec!$AP:$AP,$B222,BV_Data_An_Prec!$AQ:$AQ,$C222,BV_Data_An_Prec!$AR:$AR,$L$2)</f>
        <v>0</v>
      </c>
      <c r="R222" s="243"/>
      <c r="S222" s="266">
        <f t="shared" si="4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f>SUMIFS(BV_Data_An_Cour!$AM:$AM,BV_Data_An_Cour!$AP:$AP,$B223,BV_Data_An_Cour!$AQ:$AQ,$C223,BV_Data_An_Cour!$AR:$AR,$L$2)</f>
        <v>0</v>
      </c>
      <c r="M223" s="243"/>
      <c r="N223" s="658">
        <f t="shared" si="40"/>
        <v>0</v>
      </c>
      <c r="O223" s="243"/>
      <c r="P223" s="38"/>
      <c r="Q223" s="658">
        <f>SUMIFS(BV_Data_An_Prec!$AM:$AM,BV_Data_An_Prec!$AP:$AP,$B223,BV_Data_An_Prec!$AQ:$AQ,$C223,BV_Data_An_Prec!$AR:$AR,$L$2)</f>
        <v>0</v>
      </c>
      <c r="R223" s="243"/>
      <c r="S223" s="266">
        <f t="shared" si="41"/>
        <v>0</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f>L227/L$109</f>
        <v>-0.1076816223620833</v>
      </c>
      <c r="L227" s="294">
        <f>+SUM(L210:L226)</f>
        <v>-7000</v>
      </c>
      <c r="M227" s="296"/>
      <c r="N227" s="294">
        <f t="shared" si="40"/>
        <v>-7000</v>
      </c>
      <c r="O227" s="295" t="s">
        <v>115</v>
      </c>
      <c r="P227" s="293" t="e">
        <f>Q227/Q$109</f>
        <v>#DIV/0!</v>
      </c>
      <c r="Q227" s="294">
        <f>+SUM(Q210:Q226)</f>
        <v>0</v>
      </c>
      <c r="R227" s="297"/>
      <c r="S227" s="294">
        <f t="shared" si="41"/>
        <v>-7000</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f>L229/L$109</f>
        <v>-0.43201713060778718</v>
      </c>
      <c r="L229" s="294">
        <f>L196+L209+L227</f>
        <v>-28083.899999999991</v>
      </c>
      <c r="M229" s="296"/>
      <c r="N229" s="294">
        <f t="shared" ref="N229:N236" si="42">L229-F229</f>
        <v>-28083.899999999991</v>
      </c>
      <c r="O229" s="295" t="s">
        <v>115</v>
      </c>
      <c r="P229" s="293" t="e">
        <f>Q229/Q$109</f>
        <v>#DIV/0!</v>
      </c>
      <c r="Q229" s="294">
        <f>Q196+Q209+Q227</f>
        <v>0</v>
      </c>
      <c r="R229" s="297"/>
      <c r="S229" s="294">
        <f t="shared" ref="S229:S236" si="43">L229-Q229</f>
        <v>-28083.899999999991</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89398.58999999761</v>
      </c>
      <c r="M239" s="960"/>
      <c r="N239" s="958" t="e">
        <f>L239-F239</f>
        <v>#REF!</v>
      </c>
      <c r="O239" s="959"/>
      <c r="P239" s="957"/>
      <c r="Q239" s="958">
        <f>Q182-Q229+Q237</f>
        <v>0</v>
      </c>
      <c r="R239" s="961"/>
      <c r="S239" s="958">
        <f>L239-Q239</f>
        <v>89398.58999999761</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Octobre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f>SUMIFS(BV_Data_An_Cour!$AW:$AW,BV_Data_An_Cour!$AP:$AP,$B246,BV_Data_An_Cour!$AQ:$AQ,$C246,BV_Data_An_Cour!$AY:$AY,J$2)</f>
        <v>295</v>
      </c>
      <c r="K246" s="281">
        <f>-SUMIFS(BV_Data_An_Cour!$AM:$AM,BV_Data_An_Cour!$AS:$AS,"Oui",BV_Data_An_Cour!$AP:$AP,$B246,BV_Data_An_Cour!$AQ:$AQ,$C246)</f>
        <v>117849.16000000002</v>
      </c>
      <c r="L246" s="266">
        <f>-SUMIFS(BV_Data_An_Cour!$AM:$AM,BV_Data_An_Cour!$AP:$AP,$B246,BV_Data_An_Cour!$AQ:$AQ,$C246,BV_Data_An_Cour!$AR:$AR,$L$2)</f>
        <v>94341.310000000012</v>
      </c>
      <c r="M246" s="282" t="e">
        <f>(K246-E246)/E246</f>
        <v>#DIV/0!</v>
      </c>
      <c r="N246" s="266">
        <f>L246-F246</f>
        <v>94341.310000000012</v>
      </c>
      <c r="O246" s="245">
        <f>SUMIFS(BV_Data_An_Prec!$AW:$AW,BV_Data_An_Prec!$AP:$AP,$B246,BV_Data_An_Prec!$AQ:$AQ,$C246,BV_Data_An_Prec!$AY:$AY,O$2)</f>
        <v>0</v>
      </c>
      <c r="P246" s="281">
        <f>-SUMIFS(BV_Data_An_Prec!$AM:$AM,BV_Data_An_Prec!$AS:$AS,"Oui",BV_Data_An_Prec!$AP:$AP,$B246,BV_Data_An_Prec!$AQ:$AQ,$C246)</f>
        <v>0</v>
      </c>
      <c r="Q246" s="266">
        <f>-SUMIFS(BV_Data_An_Prec!$AM:$AM,BV_Data_An_Prec!$AP:$AP,$B246,BV_Data_An_Prec!$AQ:$AQ,$C246,BV_Data_An_Prec!$AR:$AR,$L$2)</f>
        <v>0</v>
      </c>
      <c r="R246" s="282">
        <f>IF(O246=0,0,J246/O246)</f>
        <v>0</v>
      </c>
      <c r="S246" s="266">
        <f>L246-Q246</f>
        <v>94341.310000000012</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f>IF(L246=0,0,L246/K246)</f>
        <v>0.80052594350269446</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399.48867796610176</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f>SUMIFS(BV_Data_An_Cour!$AW:$AW,BV_Data_An_Cour!$AP:$AP,$B249,BV_Data_An_Cour!$AQ:$AQ,$C249,BV_Data_An_Cour!$AY:$AY,J$2)</f>
        <v>360</v>
      </c>
      <c r="K249" s="336">
        <f>-SUMIFS(BV_Data_An_Cour!$AM:$AM,BV_Data_An_Cour!$AS:$AS,"Oui",BV_Data_An_Cour!$AP:$AP,$B249,BV_Data_An_Cour!$AQ:$AQ,$C249)</f>
        <v>51397.539999999979</v>
      </c>
      <c r="L249" s="266">
        <f>-SUMIFS(BV_Data_An_Cour!$AM:$AM,BV_Data_An_Cour!$AP:$AP,$B249,BV_Data_An_Cour!$AQ:$AQ,$C249,BV_Data_An_Cour!$AR:$AR,$L$2)</f>
        <v>35961.909999999974</v>
      </c>
      <c r="M249" s="282" t="e">
        <f>(K249-E249)/E249</f>
        <v>#DIV/0!</v>
      </c>
      <c r="N249" s="303">
        <f>L249-F249</f>
        <v>35961.909999999974</v>
      </c>
      <c r="O249" s="245">
        <f>SUMIFS(BV_Data_An_Prec!$AW:$AW,BV_Data_An_Prec!$AP:$AP,$B249,BV_Data_An_Prec!$AQ:$AQ,$C249,BV_Data_An_Prec!$AY:$AY,O$2)</f>
        <v>0</v>
      </c>
      <c r="P249" s="336">
        <f>-SUMIFS(BV_Data_An_Prec!$AM:$AM,BV_Data_An_Prec!$AS:$AS,"Oui",BV_Data_An_Prec!$AP:$AP,$B249,BV_Data_An_Prec!$AQ:$AQ,$C249)</f>
        <v>0</v>
      </c>
      <c r="Q249" s="266">
        <f>-SUMIFS(BV_Data_An_Prec!$AM:$AM,BV_Data_An_Prec!$AP:$AP,$B249,BV_Data_An_Prec!$AQ:$AQ,$C249,BV_Data_An_Prec!$AR:$AR,$L$2)</f>
        <v>0</v>
      </c>
      <c r="R249" s="282">
        <f>IF(O249=0,0,J249/O249)</f>
        <v>0</v>
      </c>
      <c r="S249" s="266">
        <f>L249-Q249</f>
        <v>35961.909999999974</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f>IF(L249=0,0,L249/K249)</f>
        <v>0.69968154117881887</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142.77094444444438</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f>SUMIFS(BV_Data_An_Cour!$AW:$AW,BV_Data_An_Cour!$AP:$AP,$B252,BV_Data_An_Cour!$AQ:$AQ,$C252,BV_Data_An_Cour!$AY:$AY,J$2)</f>
        <v>578</v>
      </c>
      <c r="K252" s="336">
        <f>-SUMIFS(BV_Data_An_Cour!$AM:$AM,BV_Data_An_Cour!$AS:$AS,"Oui",BV_Data_An_Cour!$AP:$AP,$B252,BV_Data_An_Cour!$AQ:$AQ,$C252)</f>
        <v>80797.550000000047</v>
      </c>
      <c r="L252" s="266">
        <f>-SUMIFS(BV_Data_An_Cour!$AM:$AM,BV_Data_An_Cour!$AP:$AP,$B252,BV_Data_An_Cour!$AQ:$AQ,$C252,BV_Data_An_Cour!$AR:$AR,$L$2)</f>
        <v>60220.430000000037</v>
      </c>
      <c r="M252" s="282" t="e">
        <f>(K252-E252)/E252</f>
        <v>#DIV/0!</v>
      </c>
      <c r="N252" s="266">
        <f>L252-F252</f>
        <v>60220.430000000037</v>
      </c>
      <c r="O252" s="245">
        <f>SUMIFS(BV_Data_An_Prec!$AW:$AW,BV_Data_An_Prec!$AP:$AP,$B252,BV_Data_An_Prec!$AQ:$AQ,$C252,BV_Data_An_Prec!$AY:$AY,O$2)</f>
        <v>0</v>
      </c>
      <c r="P252" s="336">
        <f>-SUMIFS(BV_Data_An_Prec!$AM:$AM,BV_Data_An_Prec!$AS:$AS,"Oui",BV_Data_An_Prec!$AP:$AP,$B252,BV_Data_An_Prec!$AQ:$AQ,$C252)</f>
        <v>0</v>
      </c>
      <c r="Q252" s="266">
        <f>-SUMIFS(BV_Data_An_Prec!$AM:$AM,BV_Data_An_Prec!$AP:$AP,$B252,BV_Data_An_Prec!$AQ:$AQ,$C252,BV_Data_An_Prec!$AR:$AR,$L$2)</f>
        <v>0</v>
      </c>
      <c r="R252" s="282">
        <f>IF(O252=0,0,J252/O252)</f>
        <v>0</v>
      </c>
      <c r="S252" s="266">
        <f>L252-Q252</f>
        <v>60220.430000000037</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f>IF(L252=0,0,L252/K252)</f>
        <v>0.74532495106596675</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139.78814878892743</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f>-SUMIFS(BV_Data_An_Cour!$AM:$AM,BV_Data_An_Cour!$AP:$AP,$B258,BV_Data_An_Cour!$AQ:$AQ,$C258,BV_Data_An_Cour!$AR:$AR,$L$2)</f>
        <v>9.6899999999986903</v>
      </c>
      <c r="M258" s="267"/>
      <c r="N258" s="266">
        <f>L258-F258</f>
        <v>9.6899999999986903</v>
      </c>
      <c r="O258" s="267"/>
      <c r="P258" s="281"/>
      <c r="Q258" s="281">
        <f>-SUMIFS(BV_Data_An_Prec!$AM:$AM,BV_Data_An_Prec!$AP:$AP,$B258,BV_Data_An_Prec!$AQ:$AQ,$C258,BV_Data_An_Prec!$AR:$AR,$L$2)</f>
        <v>0</v>
      </c>
      <c r="R258" s="345"/>
      <c r="S258" s="266">
        <f t="shared" ref="S258:S259" si="44">L258-Q258</f>
        <v>9.6899999999986903</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f t="shared" ref="J259:K259" si="45">J246+J249+J252+J255+J258</f>
        <v>1233</v>
      </c>
      <c r="K259" s="976">
        <f t="shared" si="45"/>
        <v>250044.25000000006</v>
      </c>
      <c r="L259" s="977">
        <f>L246+L249+L252+L255+L258</f>
        <v>190533.34000000003</v>
      </c>
      <c r="M259" s="978" t="e">
        <f>(K259-E259)/E259</f>
        <v>#DIV/0!</v>
      </c>
      <c r="N259" s="977">
        <f>L259-F259</f>
        <v>190533.34000000003</v>
      </c>
      <c r="O259" s="975">
        <f t="shared" ref="O259:P259" si="46">O246+O249+O252+O255+O258</f>
        <v>0</v>
      </c>
      <c r="P259" s="976">
        <f t="shared" si="46"/>
        <v>0</v>
      </c>
      <c r="Q259" s="977">
        <f>Q246+Q249+Q252+Q255+Q258</f>
        <v>0</v>
      </c>
      <c r="R259" s="254">
        <f>IF(O259=0,0,J259/O259)</f>
        <v>0</v>
      </c>
      <c r="S259" s="348">
        <f t="shared" si="44"/>
        <v>190533.34000000003</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f>IF(J259=0,0,K259/J259)</f>
        <v>202.79339010543396</v>
      </c>
      <c r="L260" s="255">
        <f>IF(L259=0,0,L259/K259)</f>
        <v>0.76199848626793054</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f>SUMIFS(BV_Data_An_Cour!$AW:$AW,BV_Data_An_Cour!$AP:$AP,$B262,BV_Data_An_Cour!$AQ:$AQ,$C262,BV_Data_An_Cour!$AY:$AY,J$2)</f>
        <v>403</v>
      </c>
      <c r="K262" s="281">
        <f>-SUMIFS(BV_Data_An_Cour!$AM:$AM,BV_Data_An_Cour!$AS:$AS,"Oui",BV_Data_An_Cour!$AP:$AP,$B262,BV_Data_An_Cour!$AQ:$AQ,$C262)</f>
        <v>29795.69000000001</v>
      </c>
      <c r="L262" s="266">
        <f>-SUMIFS(BV_Data_An_Cour!$AM:$AM,BV_Data_An_Cour!$AP:$AP,$B262,BV_Data_An_Cour!$AQ:$AQ,$C262,BV_Data_An_Cour!$AR:$AR,$L$2)</f>
        <v>9013.5500000000156</v>
      </c>
      <c r="M262" s="282">
        <f>IF(E262=0,0,(K262-E262)/E262)</f>
        <v>0</v>
      </c>
      <c r="N262" s="266">
        <f>L262-F262</f>
        <v>9013.5500000000156</v>
      </c>
      <c r="O262" s="245">
        <f>SUMIFS(BV_Data_An_Prec!$AW:$AW,BV_Data_An_Prec!$AP:$AP,$B262,BV_Data_An_Prec!$AQ:$AQ,$C262,BV_Data_An_Prec!$AY:$AY,O$2)</f>
        <v>0</v>
      </c>
      <c r="P262" s="281">
        <f>-SUMIFS(BV_Data_An_Prec!$AM:$AM,BV_Data_An_Prec!$AS:$AS,"Oui",BV_Data_An_Prec!$AP:$AP,$B262,BV_Data_An_Prec!$AQ:$AQ,$C262)</f>
        <v>0</v>
      </c>
      <c r="Q262" s="266">
        <f>-SUMIFS(BV_Data_An_Prec!$AM:$AM,BV_Data_An_Prec!$AP:$AP,$B262,BV_Data_An_Prec!$AQ:$AQ,$C262,BV_Data_An_Prec!$AR:$AR,$L$2)</f>
        <v>0</v>
      </c>
      <c r="R262" s="282">
        <f>IF(O262=0,0,J262/O262)</f>
        <v>0</v>
      </c>
      <c r="S262" s="266">
        <f>L262-Q262</f>
        <v>9013.5500000000156</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f>IF(L262=0,0,L262/K262)</f>
        <v>0.30251187336155039</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f t="shared" ref="K268" si="47">K259+K262+K265</f>
        <v>279839.94000000006</v>
      </c>
      <c r="L268" s="271">
        <f>L259+L262+L265</f>
        <v>199546.89000000004</v>
      </c>
      <c r="M268" s="272" t="e">
        <f>L269-F269</f>
        <v>#DIV/0!</v>
      </c>
      <c r="N268" s="271">
        <f>L268-F268</f>
        <v>199546.89000000004</v>
      </c>
      <c r="O268" s="272"/>
      <c r="P268" s="269">
        <f t="shared" ref="P268" si="48">P259+P262+P265</f>
        <v>0</v>
      </c>
      <c r="Q268" s="271">
        <f>Q259+Q262+Q265</f>
        <v>0</v>
      </c>
      <c r="R268" s="272"/>
      <c r="S268" s="271">
        <f>L268-Q268</f>
        <v>199546.89000000004</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f>L268/K268</f>
        <v>0.71307508856669999</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f>SUMIFS(BV_Data_An_Cour!$AM:$AM,BV_Data_An_Cour!$AP:$AP,$B272,BV_Data_An_Cour!$AQ:$AQ,$C272,BV_Data_An_Cour!$AR:$AR,$L$2)</f>
        <v>17649.010000000009</v>
      </c>
      <c r="M272" s="243"/>
      <c r="N272" s="266">
        <f t="shared" ref="N272:N303" si="49">L272-F272</f>
        <v>17649.010000000009</v>
      </c>
      <c r="O272" s="243"/>
      <c r="P272" s="38"/>
      <c r="Q272" s="266">
        <f>SUMIFS(BV_Data_An_Prec!$AM:$AM,BV_Data_An_Prec!$AP:$AP,$B272,BV_Data_An_Prec!$AQ:$AQ,$C272,BV_Data_An_Prec!$AR:$AR,$L$2)</f>
        <v>0</v>
      </c>
      <c r="R272" s="243"/>
      <c r="S272" s="266">
        <f t="shared" ref="S272:S303" si="50">L272-Q272</f>
        <v>17649.010000000009</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f>SUMIFS(BV_Data_An_Cour!$AM:$AM,BV_Data_An_Cour!$AP:$AP,$B273,BV_Data_An_Cour!$AQ:$AQ,$C273,BV_Data_An_Cour!$AR:$AR,$L$2)</f>
        <v>30423.679999999993</v>
      </c>
      <c r="M273" s="243"/>
      <c r="N273" s="266">
        <f t="shared" si="49"/>
        <v>30423.679999999993</v>
      </c>
      <c r="O273" s="243"/>
      <c r="P273" s="38"/>
      <c r="Q273" s="266">
        <f>SUMIFS(BV_Data_An_Prec!$AM:$AM,BV_Data_An_Prec!$AP:$AP,$B273,BV_Data_An_Prec!$AQ:$AQ,$C273,BV_Data_An_Prec!$AR:$AR,$L$2)</f>
        <v>0</v>
      </c>
      <c r="R273" s="243"/>
      <c r="S273" s="266">
        <f t="shared" si="50"/>
        <v>30423.679999999993</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f>SUMIFS(BV_Data_An_Cour!$AM:$AM,BV_Data_An_Cour!$AP:$AP,$B274,BV_Data_An_Cour!$AQ:$AQ,$C274,BV_Data_An_Cour!$AR:$AR,$L$2)</f>
        <v>18089.72</v>
      </c>
      <c r="M274" s="233"/>
      <c r="N274" s="303">
        <f t="shared" si="49"/>
        <v>18089.72</v>
      </c>
      <c r="O274" s="233"/>
      <c r="P274" s="301"/>
      <c r="Q274" s="303">
        <f>SUMIFS(BV_Data_An_Prec!$AM:$AM,BV_Data_An_Prec!$AP:$AP,$B274,BV_Data_An_Prec!$AQ:$AQ,$C274,BV_Data_An_Prec!$AR:$AR,$L$2)</f>
        <v>0</v>
      </c>
      <c r="R274" s="233"/>
      <c r="S274" s="303">
        <f t="shared" si="50"/>
        <v>18089.72</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f>SUMIFS(BV_Data_An_Cour!$AM:$AM,BV_Data_An_Cour!$AP:$AP,$B279,BV_Data_An_Cour!$AQ:$AQ,$C279,BV_Data_An_Cour!$AR:$AR,$L$2)</f>
        <v>16011.350000000006</v>
      </c>
      <c r="M279" s="243"/>
      <c r="N279" s="266">
        <f t="shared" si="49"/>
        <v>16011.350000000006</v>
      </c>
      <c r="O279" s="243"/>
      <c r="P279" s="38"/>
      <c r="Q279" s="266">
        <f>SUMIFS(BV_Data_An_Prec!$AM:$AM,BV_Data_An_Prec!$AP:$AP,$B279,BV_Data_An_Prec!$AQ:$AQ,$C279,BV_Data_An_Prec!$AR:$AR,$L$2)</f>
        <v>0</v>
      </c>
      <c r="R279" s="243"/>
      <c r="S279" s="266">
        <f t="shared" si="50"/>
        <v>16011.350000000006</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f>SUMIFS(BV_Data_An_Cour!$AM:$AM,BV_Data_An_Cour!$AP:$AP,$B280,BV_Data_An_Cour!$AQ:$AQ,$C280,BV_Data_An_Cour!$AR:$AR,$L$2)</f>
        <v>16190.989999999991</v>
      </c>
      <c r="M280" s="233"/>
      <c r="N280" s="303">
        <f t="shared" si="49"/>
        <v>16190.989999999991</v>
      </c>
      <c r="O280" s="233"/>
      <c r="P280" s="301"/>
      <c r="Q280" s="303">
        <f>SUMIFS(BV_Data_An_Prec!$AM:$AM,BV_Data_An_Prec!$AP:$AP,$B280,BV_Data_An_Prec!$AQ:$AQ,$C280,BV_Data_An_Prec!$AR:$AR,$L$2)</f>
        <v>0</v>
      </c>
      <c r="R280" s="233"/>
      <c r="S280" s="303">
        <f t="shared" si="50"/>
        <v>16190.989999999991</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f>SUMIFS(BV_Data_An_Cour!$AM:$AM,BV_Data_An_Cour!$AP:$AP,$B281,BV_Data_An_Cour!$AQ:$AQ,$C281,BV_Data_An_Cour!$AR:$AR,$L$2)</f>
        <v>10006.550000000003</v>
      </c>
      <c r="M281" s="243"/>
      <c r="N281" s="266">
        <f t="shared" si="49"/>
        <v>10006.550000000003</v>
      </c>
      <c r="O281" s="243"/>
      <c r="P281" s="38"/>
      <c r="Q281" s="266">
        <f>SUMIFS(BV_Data_An_Prec!$AM:$AM,BV_Data_An_Prec!$AP:$AP,$B281,BV_Data_An_Prec!$AQ:$AQ,$C281,BV_Data_An_Prec!$AR:$AR,$L$2)</f>
        <v>0</v>
      </c>
      <c r="R281" s="243"/>
      <c r="S281" s="266">
        <f t="shared" si="50"/>
        <v>10006.550000000003</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f>SUMIFS(BV_Data_An_Cour!$AM:$AM,BV_Data_An_Cour!$AP:$AP,$B282,BV_Data_An_Cour!$AQ:$AQ,$C282,BV_Data_An_Cour!$AR:$AR,$L$2)</f>
        <v>931.42000000000007</v>
      </c>
      <c r="M282" s="243"/>
      <c r="N282" s="266">
        <f t="shared" si="49"/>
        <v>931.42000000000007</v>
      </c>
      <c r="O282" s="243"/>
      <c r="P282" s="38"/>
      <c r="Q282" s="266">
        <f>SUMIFS(BV_Data_An_Prec!$AM:$AM,BV_Data_An_Prec!$AP:$AP,$B282,BV_Data_An_Prec!$AQ:$AQ,$C282,BV_Data_An_Prec!$AR:$AR,$L$2)</f>
        <v>0</v>
      </c>
      <c r="R282" s="243"/>
      <c r="S282" s="266">
        <f t="shared" si="50"/>
        <v>931.42000000000007</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f>L284/L$268</f>
        <v>0.54775456535554112</v>
      </c>
      <c r="L284" s="294">
        <f>+SUM(L272:L283)</f>
        <v>109302.72</v>
      </c>
      <c r="M284" s="296"/>
      <c r="N284" s="294">
        <f t="shared" si="49"/>
        <v>109302.72</v>
      </c>
      <c r="O284" s="295" t="s">
        <v>171</v>
      </c>
      <c r="P284" s="293" t="e">
        <f>Q284/Q$268</f>
        <v>#DIV/0!</v>
      </c>
      <c r="Q284" s="294">
        <f>+SUM(Q272:Q283)</f>
        <v>0</v>
      </c>
      <c r="R284" s="297"/>
      <c r="S284" s="294">
        <f t="shared" si="50"/>
        <v>109302.72</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f>SUMIFS(BV_Data_An_Cour!$AM:$AM,BV_Data_An_Cour!$AP:$AP,$B285,BV_Data_An_Cour!$AQ:$AQ,$C285,BV_Data_An_Cour!$AR:$AR,$L$2)</f>
        <v>1705.3700000000008</v>
      </c>
      <c r="M285" s="243"/>
      <c r="N285" s="266">
        <f t="shared" si="49"/>
        <v>1705.3700000000008</v>
      </c>
      <c r="O285" s="243"/>
      <c r="P285" s="38"/>
      <c r="Q285" s="266">
        <f>SUMIFS(BV_Data_An_Prec!$AM:$AM,BV_Data_An_Prec!$AP:$AP,$B285,BV_Data_An_Prec!$AQ:$AQ,$C285,BV_Data_An_Prec!$AR:$AR,$L$2)</f>
        <v>0</v>
      </c>
      <c r="R285" s="243"/>
      <c r="S285" s="266">
        <f t="shared" si="50"/>
        <v>1705.3700000000008</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f>SUMIFS(BV_Data_An_Cour!$AM:$AM,BV_Data_An_Cour!$AP:$AP,$B286,BV_Data_An_Cour!$AQ:$AQ,$C286,BV_Data_An_Cour!$AR:$AR,$L$2)</f>
        <v>1513.6899999999987</v>
      </c>
      <c r="M286" s="243"/>
      <c r="N286" s="266">
        <f t="shared" si="49"/>
        <v>1513.6899999999987</v>
      </c>
      <c r="O286" s="243"/>
      <c r="P286" s="38"/>
      <c r="Q286" s="266">
        <f>SUMIFS(BV_Data_An_Prec!$AM:$AM,BV_Data_An_Prec!$AP:$AP,$B286,BV_Data_An_Prec!$AQ:$AQ,$C286,BV_Data_An_Prec!$AR:$AR,$L$2)</f>
        <v>0</v>
      </c>
      <c r="R286" s="243"/>
      <c r="S286" s="266">
        <f t="shared" si="50"/>
        <v>1513.6899999999987</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f>SUMIFS(BV_Data_An_Cour!$AM:$AM,BV_Data_An_Cour!$AP:$AP,$B287,BV_Data_An_Cour!$AQ:$AQ,$C287,BV_Data_An_Cour!$AR:$AR,$L$2)</f>
        <v>7383.7099999999991</v>
      </c>
      <c r="M287" s="238"/>
      <c r="N287" s="286">
        <f t="shared" si="49"/>
        <v>7383.7099999999991</v>
      </c>
      <c r="O287" s="238"/>
      <c r="P287" s="304"/>
      <c r="Q287" s="266">
        <f>SUMIFS(BV_Data_An_Prec!$AM:$AM,BV_Data_An_Prec!$AP:$AP,$B287,BV_Data_An_Prec!$AQ:$AQ,$C287,BV_Data_An_Prec!$AR:$AR,$L$2)</f>
        <v>0</v>
      </c>
      <c r="R287" s="238"/>
      <c r="S287" s="286">
        <f t="shared" si="50"/>
        <v>7383.7099999999991</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f>SUMIFS(BV_Data_An_Cour!$AM:$AM,BV_Data_An_Cour!$AP:$AP,$B288,BV_Data_An_Cour!$AQ:$AQ,$C288,BV_Data_An_Cour!$AR:$AR,$L$2)</f>
        <v>3444.9400000000023</v>
      </c>
      <c r="M288" s="243"/>
      <c r="N288" s="266">
        <f t="shared" si="49"/>
        <v>3444.9400000000023</v>
      </c>
      <c r="O288" s="243"/>
      <c r="P288" s="38"/>
      <c r="Q288" s="303">
        <f>SUMIFS(BV_Data_An_Prec!$AM:$AM,BV_Data_An_Prec!$AP:$AP,$B288,BV_Data_An_Prec!$AQ:$AQ,$C288,BV_Data_An_Prec!$AR:$AR,$L$2)</f>
        <v>0</v>
      </c>
      <c r="R288" s="243"/>
      <c r="S288" s="266">
        <f t="shared" si="50"/>
        <v>3444.9400000000023</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f>SUMIFS(BV_Data_An_Cour!$AM:$AM,BV_Data_An_Cour!$AP:$AP,$B289,BV_Data_An_Cour!$AQ:$AQ,$C289,BV_Data_An_Cour!$AR:$AR,$L$2)</f>
        <v>484.51</v>
      </c>
      <c r="M289" s="243"/>
      <c r="N289" s="266">
        <f t="shared" si="49"/>
        <v>484.51</v>
      </c>
      <c r="O289" s="243"/>
      <c r="P289" s="38"/>
      <c r="Q289" s="266">
        <f>SUMIFS(BV_Data_An_Prec!$AM:$AM,BV_Data_An_Prec!$AP:$AP,$B289,BV_Data_An_Prec!$AQ:$AQ,$C289,BV_Data_An_Prec!$AR:$AR,$L$2)</f>
        <v>0</v>
      </c>
      <c r="R289" s="243"/>
      <c r="S289" s="266">
        <f t="shared" si="50"/>
        <v>484.51</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f>SUMIFS(BV_Data_An_Cour!$AM:$AM,BV_Data_An_Cour!$AP:$AP,$B290,BV_Data_An_Cour!$AQ:$AQ,$C290,BV_Data_An_Cour!$AR:$AR,$L$2)</f>
        <v>12219.540000000008</v>
      </c>
      <c r="M290" s="238"/>
      <c r="N290" s="286">
        <f t="shared" si="49"/>
        <v>12219.540000000008</v>
      </c>
      <c r="O290" s="238"/>
      <c r="P290" s="304"/>
      <c r="Q290" s="266">
        <f>SUMIFS(BV_Data_An_Prec!$AM:$AM,BV_Data_An_Prec!$AP:$AP,$B290,BV_Data_An_Prec!$AQ:$AQ,$C290,BV_Data_An_Prec!$AR:$AR,$L$2)</f>
        <v>0</v>
      </c>
      <c r="R290" s="238"/>
      <c r="S290" s="286">
        <f t="shared" si="50"/>
        <v>12219.540000000008</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f>SUMIFS(BV_Data_An_Cour!$AM:$AM,BV_Data_An_Cour!$AP:$AP,$B292,BV_Data_An_Cour!$AQ:$AQ,$C292,BV_Data_An_Cour!$AR:$AR,$L$2)</f>
        <v>6297.5600000000049</v>
      </c>
      <c r="M292" s="243"/>
      <c r="N292" s="266">
        <f t="shared" si="49"/>
        <v>6297.5600000000049</v>
      </c>
      <c r="O292" s="243"/>
      <c r="P292" s="38"/>
      <c r="Q292" s="266">
        <f>SUMIFS(BV_Data_An_Prec!$AM:$AM,BV_Data_An_Prec!$AP:$AP,$B292,BV_Data_An_Prec!$AQ:$AQ,$C292,BV_Data_An_Prec!$AR:$AR,$L$2)</f>
        <v>0</v>
      </c>
      <c r="R292" s="243"/>
      <c r="S292" s="266">
        <f t="shared" si="50"/>
        <v>6297.5600000000049</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f>SUMIFS(BV_Data_An_Cour!$AM:$AM,BV_Data_An_Cour!$AP:$AP,$B294,BV_Data_An_Cour!$AQ:$AQ,$C294,BV_Data_An_Cour!$AR:$AR,$L$2)</f>
        <v>1562.5100000000002</v>
      </c>
      <c r="M294" s="243"/>
      <c r="N294" s="266">
        <f t="shared" si="49"/>
        <v>1562.5100000000002</v>
      </c>
      <c r="O294" s="243"/>
      <c r="P294" s="281"/>
      <c r="Q294" s="266">
        <f>SUMIFS(BV_Data_An_Prec!$AM:$AM,BV_Data_An_Prec!$AP:$AP,$B294,BV_Data_An_Prec!$AQ:$AQ,$C294,BV_Data_An_Prec!$AR:$AR,$L$2)</f>
        <v>0</v>
      </c>
      <c r="R294" s="243"/>
      <c r="S294" s="266">
        <f t="shared" si="50"/>
        <v>1562.5100000000002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f>SUMIFS(BV_Data_An_Cour!$AM:$AM,BV_Data_An_Cour!$AP:$AP,$B295,BV_Data_An_Cour!$AQ:$AQ,$C295,BV_Data_An_Cour!$AR:$AR,$L$2)</f>
        <v>608.46999999999935</v>
      </c>
      <c r="M295" s="243"/>
      <c r="N295" s="266">
        <f t="shared" si="49"/>
        <v>608.46999999999935</v>
      </c>
      <c r="O295" s="243"/>
      <c r="P295" s="38"/>
      <c r="Q295" s="266">
        <f>SUMIFS(BV_Data_An_Prec!$AM:$AM,BV_Data_An_Prec!$AP:$AP,$B295,BV_Data_An_Prec!$AQ:$AQ,$C295,BV_Data_An_Prec!$AR:$AR,$L$2)</f>
        <v>0</v>
      </c>
      <c r="R295" s="243"/>
      <c r="S295" s="266">
        <f t="shared" si="50"/>
        <v>608.46999999999935</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f>SUMIFS(BV_Data_An_Cour!$AM:$AM,BV_Data_An_Cour!$AP:$AP,$B296,BV_Data_An_Cour!$AQ:$AQ,$C296,BV_Data_An_Cour!$AR:$AR,$L$2)</f>
        <v>321.17000000000007</v>
      </c>
      <c r="M296" s="243"/>
      <c r="N296" s="266">
        <f t="shared" si="49"/>
        <v>321.17000000000007</v>
      </c>
      <c r="O296" s="243"/>
      <c r="P296" s="38"/>
      <c r="Q296" s="266">
        <f>SUMIFS(BV_Data_An_Prec!$AM:$AM,BV_Data_An_Prec!$AP:$AP,$B296,BV_Data_An_Prec!$AQ:$AQ,$C296,BV_Data_An_Prec!$AR:$AR,$L$2)</f>
        <v>0</v>
      </c>
      <c r="R296" s="243"/>
      <c r="S296" s="266">
        <f t="shared" si="50"/>
        <v>321.17000000000007</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f>SUMIFS(BV_Data_An_Cour!$AM:$AM,BV_Data_An_Cour!$AP:$AP,$B297,BV_Data_An_Cour!$AQ:$AQ,$C297,BV_Data_An_Cour!$AR:$AR,$L$2)</f>
        <v>1257.25</v>
      </c>
      <c r="M297" s="243"/>
      <c r="N297" s="266">
        <f t="shared" si="49"/>
        <v>1257.25</v>
      </c>
      <c r="O297" s="243"/>
      <c r="P297" s="38"/>
      <c r="Q297" s="266">
        <f>SUMIFS(BV_Data_An_Prec!$AM:$AM,BV_Data_An_Prec!$AP:$AP,$B297,BV_Data_An_Prec!$AQ:$AQ,$C297,BV_Data_An_Prec!$AR:$AR,$L$2)</f>
        <v>0</v>
      </c>
      <c r="R297" s="243"/>
      <c r="S297" s="266">
        <f t="shared" si="50"/>
        <v>1257.25</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f>SUMIFS(BV_Data_An_Cour!$AM:$AM,BV_Data_An_Cour!$AP:$AP,$B298,BV_Data_An_Cour!$AQ:$AQ,$C298,BV_Data_An_Cour!$AR:$AR,$L$2)</f>
        <v>6451.8499999999985</v>
      </c>
      <c r="M298" s="243"/>
      <c r="N298" s="266">
        <f t="shared" si="49"/>
        <v>6451.8499999999985</v>
      </c>
      <c r="O298" s="243"/>
      <c r="P298" s="38"/>
      <c r="Q298" s="266">
        <f>SUMIFS(BV_Data_An_Prec!$AM:$AM,BV_Data_An_Prec!$AP:$AP,$B298,BV_Data_An_Prec!$AQ:$AQ,$C298,BV_Data_An_Prec!$AR:$AR,$L$2)</f>
        <v>0</v>
      </c>
      <c r="R298" s="243"/>
      <c r="S298" s="266">
        <f t="shared" si="50"/>
        <v>6451.8499999999985</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f>SUMIFS(BV_Data_An_Cour!$AM:$AM,BV_Data_An_Cour!$AP:$AP,$B299,BV_Data_An_Cour!$AQ:$AQ,$C299,BV_Data_An_Cour!$AR:$AR,$L$2)</f>
        <v>463.30999999999995</v>
      </c>
      <c r="M299" s="243"/>
      <c r="N299" s="266">
        <f t="shared" si="49"/>
        <v>463.30999999999995</v>
      </c>
      <c r="O299" s="243"/>
      <c r="P299" s="38"/>
      <c r="Q299" s="266">
        <f>SUMIFS(BV_Data_An_Prec!$AM:$AM,BV_Data_An_Prec!$AP:$AP,$B299,BV_Data_An_Prec!$AQ:$AQ,$C299,BV_Data_An_Prec!$AR:$AR,$L$2)</f>
        <v>0</v>
      </c>
      <c r="R299" s="243"/>
      <c r="S299" s="266">
        <f t="shared" si="50"/>
        <v>463.30999999999995</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0.21906570430639136</v>
      </c>
      <c r="L303" s="294">
        <f>+SUM(L285:L302)</f>
        <v>43713.880000000012</v>
      </c>
      <c r="M303" s="296"/>
      <c r="N303" s="294">
        <f t="shared" si="49"/>
        <v>43713.880000000012</v>
      </c>
      <c r="O303" s="295" t="s">
        <v>171</v>
      </c>
      <c r="P303" s="293" t="e">
        <f>Q303/Q$268</f>
        <v>#DIV/0!</v>
      </c>
      <c r="Q303" s="294">
        <f>+SUM(Q285:Q302)</f>
        <v>0</v>
      </c>
      <c r="R303" s="297"/>
      <c r="S303" s="294">
        <f t="shared" si="50"/>
        <v>43713.880000000012</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0.76682026966193251</v>
      </c>
      <c r="L305" s="294">
        <f>L284+L303</f>
        <v>153016.6</v>
      </c>
      <c r="M305" s="296"/>
      <c r="N305" s="294">
        <f>L305-F305</f>
        <v>153016.6</v>
      </c>
      <c r="O305" s="295" t="s">
        <v>115</v>
      </c>
      <c r="P305" s="293" t="e">
        <f>Q305/Q$268</f>
        <v>#DIV/0!</v>
      </c>
      <c r="Q305" s="294">
        <f>Q284+Q303</f>
        <v>0</v>
      </c>
      <c r="R305" s="297"/>
      <c r="S305" s="294">
        <f>L305-Q305</f>
        <v>153016.6</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46530.290000000037</v>
      </c>
      <c r="M307" s="960"/>
      <c r="N307" s="958">
        <f>L307-F307</f>
        <v>46530.290000000037</v>
      </c>
      <c r="O307" s="959"/>
      <c r="P307" s="957"/>
      <c r="Q307" s="958">
        <f>Q268-Q305</f>
        <v>0</v>
      </c>
      <c r="R307" s="961"/>
      <c r="S307" s="958">
        <f>L307-Q307</f>
        <v>46530.290000000037</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Octobre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f>-SUMIFS(BV_Data_An_Cour!$AM:$AM,BV_Data_An_Cour!$AS:$AS,"Oui",BV_Data_An_Cour!$AP:$AP,$B315,BV_Data_An_Cour!$AQ:$AQ,$C315)</f>
        <v>138553.71000000002</v>
      </c>
      <c r="L315" s="266">
        <f>-SUMIFS(BV_Data_An_Cour!$AM:$AM,BV_Data_An_Cour!$AP:$AP,$B315,BV_Data_An_Cour!$AQ:$AQ,$C315,BV_Data_An_Cour!$AR:$AR,$L$2)</f>
        <v>53530.119999999988</v>
      </c>
      <c r="M315" s="282">
        <f>IFERROR((K315-E315)/E315,0)</f>
        <v>0</v>
      </c>
      <c r="N315" s="266">
        <f>L315-F315</f>
        <v>53530.119999999988</v>
      </c>
      <c r="O315" s="267"/>
      <c r="P315" s="281">
        <f>-SUMIFS(BV_Data_An_Prec!$AM:$AM,BV_Data_An_Prec!$AS:$AS,"Oui",BV_Data_An_Prec!$AP:$AP,$B315,BV_Data_An_Prec!$AQ:$AQ,$C315)</f>
        <v>0</v>
      </c>
      <c r="Q315" s="266">
        <f>-SUMIFS(BV_Data_An_Prec!$AM:$AM,BV_Data_An_Prec!$AP:$AP,$B315,BV_Data_An_Prec!$AQ:$AQ,$C315,BV_Data_An_Prec!$AR:$AR,$L$2)</f>
        <v>0</v>
      </c>
      <c r="R315" s="282">
        <f>IF(O315=0,0,J315/O315)</f>
        <v>0</v>
      </c>
      <c r="S315" s="266">
        <f>L315-Q315</f>
        <v>53530.119999999988</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0.38634923597498744</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f>-SUMIFS(BV_Data_An_Cour!$AM:$AM,BV_Data_An_Cour!$AS:$AS,"Oui",BV_Data_An_Cour!$AP:$AP,$B318,BV_Data_An_Cour!$AQ:$AQ,$C318)</f>
        <v>6016.510000000002</v>
      </c>
      <c r="L318" s="303">
        <f>-SUMIFS(BV_Data_An_Cour!$AM:$AM,BV_Data_An_Cour!$AP:$AP,$B318,BV_Data_An_Cour!$AQ:$AQ,$C318,BV_Data_An_Cour!$AR:$AR,$L$2)</f>
        <v>2984.840000000002</v>
      </c>
      <c r="M318" s="340">
        <f>IFERROR((K318-E318)/E318,0)</f>
        <v>0</v>
      </c>
      <c r="N318" s="303">
        <f>L318-F318</f>
        <v>2984.840000000002</v>
      </c>
      <c r="O318" s="337"/>
      <c r="P318" s="336">
        <f>-SUMIFS(BV_Data_An_Prec!$AM:$AM,BV_Data_An_Prec!$AS:$AS,"Oui",BV_Data_An_Prec!$AP:$AP,$B318,BV_Data_An_Prec!$AQ:$AQ,$C318)</f>
        <v>0</v>
      </c>
      <c r="Q318" s="303">
        <f>-SUMIFS(BV_Data_An_Prec!$AM:$AM,BV_Data_An_Prec!$AP:$AP,$B318,BV_Data_An_Prec!$AQ:$AQ,$C318,BV_Data_An_Prec!$AR:$AR,$L$2)</f>
        <v>0</v>
      </c>
      <c r="R318" s="282">
        <f>IF(O318=0,0,J318/O318)</f>
        <v>0</v>
      </c>
      <c r="S318" s="266">
        <f>L318-Q318</f>
        <v>2984.840000000002</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0.49610820891181118</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f>-SUMIFS(BV_Data_An_Cour!$AM:$AM,BV_Data_An_Cour!$AS:$AS,"Oui",BV_Data_An_Cour!$AP:$AP,$B321,BV_Data_An_Cour!$AQ:$AQ,$C321)</f>
        <v>0</v>
      </c>
      <c r="L321" s="266">
        <f>-SUMIFS(BV_Data_An_Cour!$AM:$AM,BV_Data_An_Cour!$AP:$AP,$B321,BV_Data_An_Cour!$AQ:$AQ,$C321,BV_Data_An_Cour!$AR:$AR,$L$2)</f>
        <v>0</v>
      </c>
      <c r="M321" s="282">
        <f>IFERROR((K321-E321)/E321,0)</f>
        <v>0</v>
      </c>
      <c r="N321" s="303">
        <f>L321-F321</f>
        <v>0</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-SUMIFS(BV_Data_An_Cour!$AM:$AM,BV_Data_An_Cour!$AP:$AP,$B324,BV_Data_An_Cour!$AQ:$AQ,$C324,BV_Data_An_Cour!$AR:$AR,$L$2)</f>
        <v>5962.6299999999992</v>
      </c>
      <c r="M324" s="928"/>
      <c r="N324" s="929"/>
      <c r="O324" s="681"/>
      <c r="P324" s="38"/>
      <c r="Q324" s="266">
        <f>-SUMIFS(BV_Data_An_Prec!$AM:$AM,BV_Data_An_Prec!$AP:$AP,$B324,BV_Data_An_Prec!$AQ:$AQ,$C324,BV_Data_An_Prec!$AR:$AR,$L$2)</f>
        <v>0</v>
      </c>
      <c r="R324" s="282">
        <f>IF(O324=0,0,J324/O324)</f>
        <v>0</v>
      </c>
      <c r="S324" s="266">
        <f>L324-Q324</f>
        <v>5962.6299999999992</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3103</v>
      </c>
      <c r="D326" s="269"/>
      <c r="E326" s="270">
        <f>E318+E321+E315</f>
        <v>0</v>
      </c>
      <c r="F326" s="271">
        <f>F318+F321+F315</f>
        <v>0</v>
      </c>
      <c r="G326" s="272"/>
      <c r="H326" s="270"/>
      <c r="I326" s="271"/>
      <c r="J326" s="272"/>
      <c r="K326" s="269">
        <f t="shared" ref="K326" si="51">K318+K321+K315</f>
        <v>144570.22000000003</v>
      </c>
      <c r="L326" s="271">
        <f>L318+L321+L315+L324</f>
        <v>62477.589999999989</v>
      </c>
      <c r="M326" s="272" t="e">
        <f>L327-F327</f>
        <v>#DIV/0!</v>
      </c>
      <c r="N326" s="271">
        <f>L326-F326</f>
        <v>62477.589999999989</v>
      </c>
      <c r="O326" s="272"/>
      <c r="P326" s="269">
        <f t="shared" ref="P326" si="52">P318+P321+P315</f>
        <v>0</v>
      </c>
      <c r="Q326" s="271">
        <f>Q318+Q321+Q315+Q324</f>
        <v>0</v>
      </c>
      <c r="R326" s="272"/>
      <c r="S326" s="271">
        <f>L326-Q326</f>
        <v>62477.589999999989</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f>SUMIFS(BV_Data_An_Cour!$AM:$AM,BV_Data_An_Cour!$AP:$AP,$B330,BV_Data_An_Cour!$AQ:$AQ,$C330,BV_Data_An_Cour!$AR:$AR,$L$2)</f>
        <v>16842.619999999995</v>
      </c>
      <c r="M330" s="243"/>
      <c r="N330" s="266">
        <f t="shared" ref="N330:N360" si="53">L330-F330</f>
        <v>16842.619999999995</v>
      </c>
      <c r="O330" s="243"/>
      <c r="P330" s="38"/>
      <c r="Q330" s="266">
        <f>SUMIFS(BV_Data_An_Prec!$AM:$AM,BV_Data_An_Prec!$AP:$AP,$B330,BV_Data_An_Prec!$AQ:$AQ,$C330,BV_Data_An_Prec!$AR:$AR,$L$2)</f>
        <v>0</v>
      </c>
      <c r="R330" s="243"/>
      <c r="S330" s="266">
        <f t="shared" ref="S330:S361" si="54">L330-Q330</f>
        <v>16842.619999999995</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f>SUMIFS(BV_Data_An_Cour!$AM:$AM,BV_Data_An_Cour!$AP:$AP,$B331,BV_Data_An_Cour!$AQ:$AQ,$C331,BV_Data_An_Cour!$AR:$AR,$L$2)</f>
        <v>7337.179999999993</v>
      </c>
      <c r="M331" s="243"/>
      <c r="N331" s="266">
        <f t="shared" si="53"/>
        <v>7337.179999999993</v>
      </c>
      <c r="O331" s="243"/>
      <c r="P331" s="38"/>
      <c r="Q331" s="266">
        <f>SUMIFS(BV_Data_An_Prec!$AM:$AM,BV_Data_An_Prec!$AP:$AP,$B331,BV_Data_An_Prec!$AQ:$AQ,$C331,BV_Data_An_Prec!$AR:$AR,$L$2)</f>
        <v>0</v>
      </c>
      <c r="R331" s="243"/>
      <c r="S331" s="266">
        <f t="shared" si="54"/>
        <v>7337.179999999993</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f>SUMIFS(BV_Data_An_Cour!$AM:$AM,BV_Data_An_Cour!$AP:$AP,$B332,BV_Data_An_Cour!$AQ:$AQ,$C332,BV_Data_An_Cour!$AR:$AR,$L$2)</f>
        <v>0</v>
      </c>
      <c r="M332" s="233"/>
      <c r="N332" s="303">
        <f t="shared" si="53"/>
        <v>0</v>
      </c>
      <c r="O332" s="233"/>
      <c r="P332" s="301"/>
      <c r="Q332" s="303">
        <f>SUMIFS(BV_Data_An_Prec!$AM:$AM,BV_Data_An_Prec!$AP:$AP,$B332,BV_Data_An_Prec!$AQ:$AQ,$C332,BV_Data_An_Prec!$AR:$AR,$L$2)</f>
        <v>0</v>
      </c>
      <c r="R332" s="233"/>
      <c r="S332" s="303">
        <f t="shared" si="54"/>
        <v>0</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f>SUMIFS(BV_Data_An_Cour!$AM:$AM,BV_Data_An_Cour!$AP:$AP,$B337,BV_Data_An_Cour!$AQ:$AQ,$C337,BV_Data_An_Cour!$AR:$AR,$L$2)</f>
        <v>4073.1100000000006</v>
      </c>
      <c r="M337" s="243"/>
      <c r="N337" s="266">
        <f t="shared" si="53"/>
        <v>4073.1100000000006</v>
      </c>
      <c r="O337" s="243"/>
      <c r="P337" s="38"/>
      <c r="Q337" s="266">
        <f>SUMIFS(BV_Data_An_Prec!$AM:$AM,BV_Data_An_Prec!$AP:$AP,$B337,BV_Data_An_Prec!$AQ:$AQ,$C337,BV_Data_An_Prec!$AR:$AR,$L$2)</f>
        <v>0</v>
      </c>
      <c r="R337" s="243"/>
      <c r="S337" s="266">
        <f t="shared" si="54"/>
        <v>4073.1100000000006</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f>SUMIFS(BV_Data_An_Cour!$AM:$AM,BV_Data_An_Cour!$AP:$AP,$B338,BV_Data_An_Cour!$AQ:$AQ,$C338,BV_Data_An_Cour!$AR:$AR,$L$2)</f>
        <v>4788.6399999999994</v>
      </c>
      <c r="M338" s="233"/>
      <c r="N338" s="303">
        <f t="shared" si="53"/>
        <v>4788.6399999999994</v>
      </c>
      <c r="O338" s="233"/>
      <c r="P338" s="301"/>
      <c r="Q338" s="303">
        <f>SUMIFS(BV_Data_An_Prec!$AM:$AM,BV_Data_An_Prec!$AP:$AP,$B338,BV_Data_An_Prec!$AQ:$AQ,$C338,BV_Data_An_Prec!$AR:$AR,$L$2)</f>
        <v>0</v>
      </c>
      <c r="R338" s="233"/>
      <c r="S338" s="303">
        <f t="shared" si="54"/>
        <v>4788.6399999999994</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f>SUMIFS(BV_Data_An_Cour!$AM:$AM,BV_Data_An_Cour!$AP:$AP,$B339,BV_Data_An_Cour!$AQ:$AQ,$C339,BV_Data_An_Cour!$AR:$AR,$L$2)</f>
        <v>1961.880000000001</v>
      </c>
      <c r="M339" s="243"/>
      <c r="N339" s="266">
        <f t="shared" si="53"/>
        <v>1961.880000000001</v>
      </c>
      <c r="O339" s="243"/>
      <c r="P339" s="38"/>
      <c r="Q339" s="266">
        <f>SUMIFS(BV_Data_An_Prec!$AM:$AM,BV_Data_An_Prec!$AP:$AP,$B339,BV_Data_An_Prec!$AQ:$AQ,$C339,BV_Data_An_Prec!$AR:$AR,$L$2)</f>
        <v>0</v>
      </c>
      <c r="R339" s="243"/>
      <c r="S339" s="266">
        <f t="shared" si="54"/>
        <v>1961.880000000001</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f>SUMIFS(BV_Data_An_Cour!$AM:$AM,BV_Data_An_Cour!$AP:$AP,$B340,BV_Data_An_Cour!$AQ:$AQ,$C340,BV_Data_An_Cour!$AR:$AR,$L$2)</f>
        <v>46.53000000000003</v>
      </c>
      <c r="M340" s="243"/>
      <c r="N340" s="266">
        <f t="shared" si="53"/>
        <v>46.53000000000003</v>
      </c>
      <c r="O340" s="243"/>
      <c r="P340" s="38"/>
      <c r="Q340" s="266">
        <f>SUMIFS(BV_Data_An_Prec!$AM:$AM,BV_Data_An_Prec!$AP:$AP,$B340,BV_Data_An_Prec!$AQ:$AQ,$C340,BV_Data_An_Prec!$AR:$AR,$L$2)</f>
        <v>0</v>
      </c>
      <c r="R340" s="243"/>
      <c r="S340" s="266">
        <f t="shared" si="54"/>
        <v>46.53000000000003</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f>IF(L326=0,0,L342/L$326)</f>
        <v>0.56100051234370596</v>
      </c>
      <c r="L342" s="294">
        <f>+SUM(L330:L341)</f>
        <v>35049.959999999992</v>
      </c>
      <c r="M342" s="296"/>
      <c r="N342" s="294">
        <f t="shared" si="53"/>
        <v>35049.959999999992</v>
      </c>
      <c r="O342" s="295" t="s">
        <v>115</v>
      </c>
      <c r="P342" s="293">
        <f>IF(Q326=0,0,Q342/Q$326)</f>
        <v>0</v>
      </c>
      <c r="Q342" s="294">
        <f>+SUM(Q330:Q341)</f>
        <v>0</v>
      </c>
      <c r="R342" s="297"/>
      <c r="S342" s="294">
        <f t="shared" si="54"/>
        <v>35049.959999999992</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f>SUMIFS(BV_Data_An_Cour!$AM:$AM,BV_Data_An_Cour!$AP:$AP,$B343,BV_Data_An_Cour!$AQ:$AQ,$C343,BV_Data_An_Cour!$AR:$AR,$L$2)</f>
        <v>2636.1900000000005</v>
      </c>
      <c r="M343" s="243"/>
      <c r="N343" s="266">
        <f t="shared" si="53"/>
        <v>2636.1900000000005</v>
      </c>
      <c r="O343" s="243"/>
      <c r="P343" s="38"/>
      <c r="Q343" s="266">
        <f>SUMIFS(BV_Data_An_Prec!$AM:$AM,BV_Data_An_Prec!$AP:$AP,$B343,BV_Data_An_Prec!$AQ:$AQ,$C343,BV_Data_An_Prec!$AR:$AR,$L$2)</f>
        <v>0</v>
      </c>
      <c r="R343" s="243"/>
      <c r="S343" s="266">
        <f t="shared" si="54"/>
        <v>2636.1900000000005</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f>SUMIFS(BV_Data_An_Cour!$AM:$AM,BV_Data_An_Cour!$AP:$AP,$B344,BV_Data_An_Cour!$AQ:$AQ,$C344,BV_Data_An_Cour!$AR:$AR,$L$2)</f>
        <v>693.46000000000095</v>
      </c>
      <c r="M344" s="243"/>
      <c r="N344" s="266">
        <f t="shared" si="53"/>
        <v>693.46000000000095</v>
      </c>
      <c r="O344" s="243"/>
      <c r="P344" s="38"/>
      <c r="Q344" s="266">
        <f>SUMIFS(BV_Data_An_Prec!$AM:$AM,BV_Data_An_Prec!$AP:$AP,$B344,BV_Data_An_Prec!$AQ:$AQ,$C344,BV_Data_An_Prec!$AR:$AR,$L$2)</f>
        <v>0</v>
      </c>
      <c r="R344" s="243"/>
      <c r="S344" s="266">
        <f t="shared" si="54"/>
        <v>693.46000000000095</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f>SUMIFS(BV_Data_An_Cour!$AM:$AM,BV_Data_An_Cour!$AP:$AP,$B345,BV_Data_An_Cour!$AQ:$AQ,$C345,BV_Data_An_Cour!$AR:$AR,$L$2)</f>
        <v>1275.6100000000006</v>
      </c>
      <c r="M345" s="238"/>
      <c r="N345" s="286">
        <f t="shared" si="53"/>
        <v>1275.6100000000006</v>
      </c>
      <c r="O345" s="238"/>
      <c r="P345" s="304"/>
      <c r="Q345" s="266">
        <f>SUMIFS(BV_Data_An_Prec!$AM:$AM,BV_Data_An_Prec!$AP:$AP,$B345,BV_Data_An_Prec!$AQ:$AQ,$C345,BV_Data_An_Prec!$AR:$AR,$L$2)</f>
        <v>0</v>
      </c>
      <c r="R345" s="238"/>
      <c r="S345" s="286">
        <f t="shared" si="54"/>
        <v>1275.6100000000006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f>SUMIFS(BV_Data_An_Cour!$AM:$AM,BV_Data_An_Cour!$AP:$AP,$B346,BV_Data_An_Cour!$AQ:$AQ,$C346,BV_Data_An_Cour!$AR:$AR,$L$2)</f>
        <v>2448.510000000002</v>
      </c>
      <c r="M346" s="243"/>
      <c r="N346" s="266">
        <f t="shared" si="53"/>
        <v>2448.510000000002</v>
      </c>
      <c r="O346" s="243"/>
      <c r="P346" s="38"/>
      <c r="Q346" s="303">
        <f>SUMIFS(BV_Data_An_Prec!$AM:$AM,BV_Data_An_Prec!$AP:$AP,$B346,BV_Data_An_Prec!$AQ:$AQ,$C346,BV_Data_An_Prec!$AR:$AR,$L$2)</f>
        <v>0</v>
      </c>
      <c r="R346" s="243"/>
      <c r="S346" s="266">
        <f t="shared" si="54"/>
        <v>2448.510000000002</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f>SUMIFS(BV_Data_An_Cour!$AM:$AM,BV_Data_An_Cour!$AP:$AP,$B347,BV_Data_An_Cour!$AQ:$AQ,$C347,BV_Data_An_Cour!$AR:$AR,$L$2)</f>
        <v>150</v>
      </c>
      <c r="M347" s="243"/>
      <c r="N347" s="266">
        <f t="shared" si="53"/>
        <v>150</v>
      </c>
      <c r="O347" s="243"/>
      <c r="P347" s="38"/>
      <c r="Q347" s="266">
        <f>SUMIFS(BV_Data_An_Prec!$AM:$AM,BV_Data_An_Prec!$AP:$AP,$B347,BV_Data_An_Prec!$AQ:$AQ,$C347,BV_Data_An_Prec!$AR:$AR,$L$2)</f>
        <v>0</v>
      </c>
      <c r="R347" s="243"/>
      <c r="S347" s="266">
        <f t="shared" si="54"/>
        <v>150</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f>SUMIFS(BV_Data_An_Cour!$AM:$AM,BV_Data_An_Cour!$AP:$AP,$B348,BV_Data_An_Cour!$AQ:$AQ,$C348,BV_Data_An_Cour!$AR:$AR,$L$2)</f>
        <v>6526.9399999999987</v>
      </c>
      <c r="M348" s="238"/>
      <c r="N348" s="286">
        <f t="shared" si="53"/>
        <v>6526.9399999999987</v>
      </c>
      <c r="O348" s="238"/>
      <c r="P348" s="304"/>
      <c r="Q348" s="266">
        <f>SUMIFS(BV_Data_An_Prec!$AM:$AM,BV_Data_An_Prec!$AP:$AP,$B348,BV_Data_An_Prec!$AQ:$AQ,$C348,BV_Data_An_Prec!$AR:$AR,$L$2)</f>
        <v>0</v>
      </c>
      <c r="R348" s="238"/>
      <c r="S348" s="286">
        <f t="shared" si="54"/>
        <v>6526.9399999999987</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f>SUMIFS(BV_Data_An_Cour!$AM:$AM,BV_Data_An_Cour!$AP:$AP,$B352,BV_Data_An_Cour!$AQ:$AQ,$C352,BV_Data_An_Cour!$AR:$AR,$L$2)</f>
        <v>454.26000000000022</v>
      </c>
      <c r="M352" s="243"/>
      <c r="N352" s="266">
        <f t="shared" si="53"/>
        <v>454.26000000000022</v>
      </c>
      <c r="O352" s="243"/>
      <c r="P352" s="38"/>
      <c r="Q352" s="266">
        <f>SUMIFS(BV_Data_An_Prec!$AM:$AM,BV_Data_An_Prec!$AP:$AP,$B352,BV_Data_An_Prec!$AQ:$AQ,$C352,BV_Data_An_Prec!$AR:$AR,$L$2)</f>
        <v>0</v>
      </c>
      <c r="R352" s="243"/>
      <c r="S352" s="266">
        <f t="shared" si="54"/>
        <v>454.26000000000022</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f>SUMIFS(BV_Data_An_Cour!$AM:$AM,BV_Data_An_Cour!$AP:$AP,$B353,BV_Data_An_Cour!$AQ:$AQ,$C353,BV_Data_An_Cour!$AR:$AR,$L$2)</f>
        <v>175.32999999999993</v>
      </c>
      <c r="M353" s="243"/>
      <c r="N353" s="266">
        <f t="shared" si="53"/>
        <v>175.32999999999993</v>
      </c>
      <c r="O353" s="243"/>
      <c r="P353" s="38"/>
      <c r="Q353" s="266">
        <f>SUMIFS(BV_Data_An_Prec!$AM:$AM,BV_Data_An_Prec!$AP:$AP,$B353,BV_Data_An_Prec!$AQ:$AQ,$C353,BV_Data_An_Prec!$AR:$AR,$L$2)</f>
        <v>0</v>
      </c>
      <c r="R353" s="243"/>
      <c r="S353" s="266">
        <f t="shared" si="54"/>
        <v>175.32999999999993</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f>SUMIFS(BV_Data_An_Cour!$AM:$AM,BV_Data_An_Cour!$AP:$AP,$B354,BV_Data_An_Cour!$AQ:$AQ,$C354,BV_Data_An_Cour!$AR:$AR,$L$2)</f>
        <v>101.9399999999996</v>
      </c>
      <c r="M354" s="243"/>
      <c r="N354" s="266">
        <f t="shared" si="53"/>
        <v>101.9399999999996</v>
      </c>
      <c r="O354" s="243"/>
      <c r="P354" s="38"/>
      <c r="Q354" s="266">
        <f>SUMIFS(BV_Data_An_Prec!$AM:$AM,BV_Data_An_Prec!$AP:$AP,$B354,BV_Data_An_Prec!$AQ:$AQ,$C354,BV_Data_An_Prec!$AR:$AR,$L$2)</f>
        <v>0</v>
      </c>
      <c r="R354" s="243"/>
      <c r="S354" s="266">
        <f t="shared" si="54"/>
        <v>101.9399999999996</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f>SUMIFS(BV_Data_An_Cour!$AM:$AM,BV_Data_An_Cour!$AP:$AP,$B355,BV_Data_An_Cour!$AQ:$AQ,$C355,BV_Data_An_Cour!$AR:$AR,$L$2)</f>
        <v>1184.9300000000003</v>
      </c>
      <c r="M355" s="243"/>
      <c r="N355" s="266">
        <f t="shared" si="53"/>
        <v>1184.9300000000003</v>
      </c>
      <c r="O355" s="243"/>
      <c r="P355" s="38"/>
      <c r="Q355" s="266">
        <f>SUMIFS(BV_Data_An_Prec!$AM:$AM,BV_Data_An_Prec!$AP:$AP,$B355,BV_Data_An_Prec!$AQ:$AQ,$C355,BV_Data_An_Prec!$AR:$AR,$L$2)</f>
        <v>0</v>
      </c>
      <c r="R355" s="243"/>
      <c r="S355" s="266">
        <f t="shared" si="54"/>
        <v>1184.9300000000003</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f>SUMIFS(BV_Data_An_Cour!$AM:$AM,BV_Data_An_Cour!$AP:$AP,$B356,BV_Data_An_Cour!$AQ:$AQ,$C356,BV_Data_An_Cour!$AR:$AR,$L$2)</f>
        <v>156.94999999999982</v>
      </c>
      <c r="M356" s="243"/>
      <c r="N356" s="266">
        <f t="shared" si="53"/>
        <v>156.94999999999982</v>
      </c>
      <c r="O356" s="243"/>
      <c r="P356" s="38"/>
      <c r="Q356" s="266">
        <f>SUMIFS(BV_Data_An_Prec!$AM:$AM,BV_Data_An_Prec!$AP:$AP,$B356,BV_Data_An_Prec!$AQ:$AQ,$C356,BV_Data_An_Prec!$AR:$AR,$L$2)</f>
        <v>0</v>
      </c>
      <c r="R356" s="243"/>
      <c r="S356" s="266">
        <f t="shared" si="54"/>
        <v>156.94999999999982</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f>SUMIFS(BV_Data_An_Cour!$AM:$AM,BV_Data_An_Cour!$AP:$AP,$B357,BV_Data_An_Cour!$AQ:$AQ,$C357,BV_Data_An_Cour!$AR:$AR,$L$2)</f>
        <v>146.29000000000008</v>
      </c>
      <c r="M357" s="243"/>
      <c r="N357" s="266">
        <f t="shared" si="53"/>
        <v>146.29000000000008</v>
      </c>
      <c r="O357" s="243"/>
      <c r="P357" s="38"/>
      <c r="Q357" s="266">
        <f>SUMIFS(BV_Data_An_Prec!$AM:$AM,BV_Data_An_Prec!$AP:$AP,$B357,BV_Data_An_Prec!$AQ:$AQ,$C357,BV_Data_An_Prec!$AR:$AR,$L$2)</f>
        <v>0</v>
      </c>
      <c r="R357" s="243"/>
      <c r="S357" s="266">
        <f t="shared" si="54"/>
        <v>146.29000000000008</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3148</v>
      </c>
      <c r="D358" s="287"/>
      <c r="E358" s="38"/>
      <c r="F358" s="244">
        <f>+INDEX('Budget original'!$A$2:$AO$501,MATCH($A358,'Budget original'!$A$2:$A$501,0),MATCH(F$2,'Budget original'!$A$2:$AO$2,0))</f>
        <v>0</v>
      </c>
      <c r="G358" s="288"/>
      <c r="H358" s="38"/>
      <c r="I358" s="244"/>
      <c r="J358" s="243"/>
      <c r="K358" s="38"/>
      <c r="L358" s="266">
        <f>SUMIFS(BV_Data_An_Cour!$AM:$AM,BV_Data_An_Cour!$AP:$AP,$B358,BV_Data_An_Cour!$AQ:$AQ,$C358,BV_Data_An_Cour!$AR:$AR,$L$2)</f>
        <v>0</v>
      </c>
      <c r="M358" s="243"/>
      <c r="N358" s="266">
        <f t="shared" si="53"/>
        <v>0</v>
      </c>
      <c r="O358" s="243"/>
      <c r="P358" s="38"/>
      <c r="Q358" s="266">
        <f>SUMIFS(BV_Data_An_Prec!$AM:$AM,BV_Data_An_Prec!$AP:$AP,$B358,BV_Data_An_Prec!$AQ:$AQ,$C358,BV_Data_An_Prec!$AR:$AR,$L$2)</f>
        <v>0</v>
      </c>
      <c r="R358" s="243"/>
      <c r="S358" s="266">
        <f t="shared" si="54"/>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f>L361/L$326</f>
        <v>0.25529809968662376</v>
      </c>
      <c r="L361" s="294">
        <f>+SUM(L343:L360)</f>
        <v>15950.410000000003</v>
      </c>
      <c r="M361" s="296"/>
      <c r="N361" s="294">
        <f>+SUM(N343:N360)</f>
        <v>15950.410000000003</v>
      </c>
      <c r="O361" s="295" t="s">
        <v>115</v>
      </c>
      <c r="P361" s="293" t="e">
        <f>Q361/Q$326</f>
        <v>#DIV/0!</v>
      </c>
      <c r="Q361" s="294">
        <f>+SUM(Q343:Q360)</f>
        <v>0</v>
      </c>
      <c r="R361" s="297"/>
      <c r="S361" s="294">
        <f t="shared" si="54"/>
        <v>15950.410000000003</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f>L363/L$326</f>
        <v>0.81629861203032961</v>
      </c>
      <c r="L363" s="294">
        <f>L342+L361</f>
        <v>51000.369999999995</v>
      </c>
      <c r="M363" s="296"/>
      <c r="N363" s="294">
        <f>L363-F363</f>
        <v>51000.369999999995</v>
      </c>
      <c r="O363" s="295" t="s">
        <v>115</v>
      </c>
      <c r="P363" s="293" t="e">
        <f>Q363/Q$326</f>
        <v>#DIV/0!</v>
      </c>
      <c r="Q363" s="294">
        <f>Q342+Q361</f>
        <v>0</v>
      </c>
      <c r="R363" s="297"/>
      <c r="S363" s="294">
        <f>L363-Q363</f>
        <v>51000.369999999995</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11477.219999999994</v>
      </c>
      <c r="M365" s="960"/>
      <c r="N365" s="958">
        <f>L365-F365</f>
        <v>11477.219999999994</v>
      </c>
      <c r="O365" s="959"/>
      <c r="P365" s="957"/>
      <c r="Q365" s="958">
        <f>Q326-Q363</f>
        <v>0</v>
      </c>
      <c r="R365" s="961"/>
      <c r="S365" s="958">
        <f>L365-Q365</f>
        <v>11477.219999999994</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Octobre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f>-SUMIFS(BV_Data_An_Cour!$AM:$AM,BV_Data_An_Cour!$AS:$AS,"Oui",BV_Data_An_Cour!$AP:$AP,$B371,BV_Data_An_Cour!$AQ:$AQ,$C371)</f>
        <v>76553.770000000019</v>
      </c>
      <c r="K371" s="327">
        <f t="shared" ref="K371:K380" si="55">IF(J371&lt;=0,0,L371/J371)</f>
        <v>0.35418360193103515</v>
      </c>
      <c r="L371" s="266">
        <f>-SUMIFS(BV_Data_An_Cour!$AM:$AM,BV_Data_An_Cour!$AP:$AP,$B371,BV_Data_An_Cour!$AQ:$AQ,$C371,BV_Data_An_Cour!$AR:$AR,$L$2)</f>
        <v>27114.090000000026</v>
      </c>
      <c r="M371" s="282" t="e">
        <f t="shared" ref="M371:M377" si="56">(+J371-D371)/D371</f>
        <v>#DIV/0!</v>
      </c>
      <c r="N371" s="266">
        <f t="shared" ref="N371:N380" si="57">L371-F371</f>
        <v>27114.090000000026</v>
      </c>
      <c r="O371" s="281">
        <f>-SUMIFS(BV_Data_An_Prec!$AM:$AM,BV_Data_An_Prec!$AS:$AS,"Oui",BV_Data_An_Prec!$AP:$AP,$B371,BV_Data_An_Prec!$AQ:$AQ,$C371)</f>
        <v>0</v>
      </c>
      <c r="P371" s="327">
        <f t="shared" ref="P371:P380" si="58">IF(O371&lt;=0,0,Q371/O371)</f>
        <v>0</v>
      </c>
      <c r="Q371" s="266">
        <f>-SUMIFS(BV_Data_An_Prec!$AM:$AM,BV_Data_An_Prec!$AP:$AP,$B371,BV_Data_An_Prec!$AQ:$AQ,$C371,BV_Data_An_Prec!$AR:$AR,$L$2)</f>
        <v>0</v>
      </c>
      <c r="R371" s="282">
        <f t="shared" ref="R371:R380" si="59">IF(O371=0,0,(J371-O371)/O371)</f>
        <v>0</v>
      </c>
      <c r="S371" s="266">
        <f t="shared" ref="S371:S380" si="60">L371-Q371</f>
        <v>27114.090000000026</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f>-SUMIFS(BV_Data_An_Cour!$AM:$AM,BV_Data_An_Cour!$AS:$AS,"Oui",BV_Data_An_Cour!$AP:$AP,$B372,BV_Data_An_Cour!$AQ:$AQ,$C372)</f>
        <v>361.84999999999997</v>
      </c>
      <c r="K372" s="327">
        <f t="shared" si="55"/>
        <v>-0.49650407627469956</v>
      </c>
      <c r="L372" s="266">
        <f>-SUMIFS(BV_Data_An_Cour!$AM:$AM,BV_Data_An_Cour!$AP:$AP,$B372,BV_Data_An_Cour!$AQ:$AQ,$C372,BV_Data_An_Cour!$AR:$AR,$L$2)</f>
        <v>-179.66000000000003</v>
      </c>
      <c r="M372" s="282" t="e">
        <f t="shared" si="56"/>
        <v>#DIV/0!</v>
      </c>
      <c r="N372" s="266">
        <f t="shared" si="57"/>
        <v>-179.66000000000003</v>
      </c>
      <c r="O372" s="281">
        <f>-SUMIFS(BV_Data_An_Prec!$AM:$AM,BV_Data_An_Prec!$AS:$AS,"Oui",BV_Data_An_Prec!$AP:$AP,$B372,BV_Data_An_Prec!$AQ:$AQ,$C372)</f>
        <v>0</v>
      </c>
      <c r="P372" s="327">
        <f t="shared" si="58"/>
        <v>0</v>
      </c>
      <c r="Q372" s="266">
        <f>-SUMIFS(BV_Data_An_Prec!$AM:$AM,BV_Data_An_Prec!$AP:$AP,$B372,BV_Data_An_Prec!$AQ:$AQ,$C372,BV_Data_An_Prec!$AR:$AR,$L$2)</f>
        <v>0</v>
      </c>
      <c r="R372" s="282">
        <f t="shared" si="59"/>
        <v>0</v>
      </c>
      <c r="S372" s="266">
        <f t="shared" si="60"/>
        <v>-179.66000000000003</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f>-SUMIFS(BV_Data_An_Cour!$AM:$AM,BV_Data_An_Cour!$AS:$AS,"Oui",BV_Data_An_Cour!$AP:$AP,$B373,BV_Data_An_Cour!$AQ:$AQ,$C373)</f>
        <v>47519.350000000035</v>
      </c>
      <c r="K373" s="327">
        <f t="shared" si="55"/>
        <v>0.28535680727956253</v>
      </c>
      <c r="L373" s="266">
        <f>-SUMIFS(BV_Data_An_Cour!$AM:$AM,BV_Data_An_Cour!$AP:$AP,$B373,BV_Data_An_Cour!$AQ:$AQ,$C373,BV_Data_An_Cour!$AR:$AR,$L$2)</f>
        <v>13559.970000000088</v>
      </c>
      <c r="M373" s="282" t="e">
        <f t="shared" si="56"/>
        <v>#DIV/0!</v>
      </c>
      <c r="N373" s="266">
        <f t="shared" si="57"/>
        <v>13559.970000000088</v>
      </c>
      <c r="O373" s="281">
        <f>-SUMIFS(BV_Data_An_Prec!$AM:$AM,BV_Data_An_Prec!$AS:$AS,"Oui",BV_Data_An_Prec!$AP:$AP,$B373,BV_Data_An_Prec!$AQ:$AQ,$C373)</f>
        <v>0</v>
      </c>
      <c r="P373" s="327">
        <f t="shared" si="58"/>
        <v>0</v>
      </c>
      <c r="Q373" s="266">
        <f>-SUMIFS(BV_Data_An_Prec!$AM:$AM,BV_Data_An_Prec!$AP:$AP,$B373,BV_Data_An_Prec!$AQ:$AQ,$C373,BV_Data_An_Prec!$AR:$AR,$L$2)</f>
        <v>0</v>
      </c>
      <c r="R373" s="282">
        <f t="shared" si="59"/>
        <v>0</v>
      </c>
      <c r="S373" s="266">
        <f t="shared" si="60"/>
        <v>13559.970000000088</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f>-SUMIFS(BV_Data_An_Cour!$AM:$AM,BV_Data_An_Cour!$AS:$AS,"Oui",BV_Data_An_Cour!$AP:$AP,$B374,BV_Data_An_Cour!$AQ:$AQ,$C374)</f>
        <v>49613.650000000023</v>
      </c>
      <c r="K374" s="327">
        <f t="shared" si="55"/>
        <v>0.30732570572816115</v>
      </c>
      <c r="L374" s="266">
        <f>-SUMIFS(BV_Data_An_Cour!$AM:$AM,BV_Data_An_Cour!$AP:$AP,$B374,BV_Data_An_Cour!$AQ:$AQ,$C374,BV_Data_An_Cour!$AR:$AR,$L$2)</f>
        <v>15247.549999999988</v>
      </c>
      <c r="M374" s="282" t="e">
        <f t="shared" si="56"/>
        <v>#DIV/0!</v>
      </c>
      <c r="N374" s="266">
        <f t="shared" si="57"/>
        <v>15247.549999999988</v>
      </c>
      <c r="O374" s="281">
        <f>-SUMIFS(BV_Data_An_Prec!$AM:$AM,BV_Data_An_Prec!$AS:$AS,"Oui",BV_Data_An_Prec!$AP:$AP,$B374,BV_Data_An_Prec!$AQ:$AQ,$C374)</f>
        <v>0</v>
      </c>
      <c r="P374" s="327">
        <f t="shared" si="58"/>
        <v>0</v>
      </c>
      <c r="Q374" s="266">
        <f>-SUMIFS(BV_Data_An_Prec!$AM:$AM,BV_Data_An_Prec!$AP:$AP,$B374,BV_Data_An_Prec!$AQ:$AQ,$C374,BV_Data_An_Prec!$AR:$AR,$L$2)</f>
        <v>0</v>
      </c>
      <c r="R374" s="282">
        <f t="shared" si="59"/>
        <v>0</v>
      </c>
      <c r="S374" s="266">
        <f t="shared" si="60"/>
        <v>15247.549999999988</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f>-SUMIFS(BV_Data_An_Cour!$AM:$AM,BV_Data_An_Cour!$AS:$AS,"Oui",BV_Data_An_Cour!$AP:$AP,$B375,BV_Data_An_Cour!$AQ:$AQ,$C375)</f>
        <v>27876.289999999979</v>
      </c>
      <c r="K375" s="327">
        <f t="shared" si="55"/>
        <v>0.26778778668179909</v>
      </c>
      <c r="L375" s="266">
        <f>-SUMIFS(BV_Data_An_Cour!$AM:$AM,BV_Data_An_Cour!$AP:$AP,$B375,BV_Data_An_Cour!$AQ:$AQ,$C375,BV_Data_An_Cour!$AR:$AR,$L$2)</f>
        <v>7464.9299999999639</v>
      </c>
      <c r="M375" s="282" t="e">
        <f t="shared" si="56"/>
        <v>#DIV/0!</v>
      </c>
      <c r="N375" s="266">
        <f t="shared" si="57"/>
        <v>7464.9299999999639</v>
      </c>
      <c r="O375" s="281">
        <f>-SUMIFS(BV_Data_An_Prec!$AM:$AM,BV_Data_An_Prec!$AS:$AS,"Oui",BV_Data_An_Prec!$AP:$AP,$B375,BV_Data_An_Prec!$AQ:$AQ,$C375)</f>
        <v>0</v>
      </c>
      <c r="P375" s="327">
        <f t="shared" si="58"/>
        <v>0</v>
      </c>
      <c r="Q375" s="266">
        <f>-SUMIFS(BV_Data_An_Prec!$AM:$AM,BV_Data_An_Prec!$AP:$AP,$B375,BV_Data_An_Prec!$AQ:$AQ,$C375,BV_Data_An_Prec!$AR:$AR,$L$2)</f>
        <v>0</v>
      </c>
      <c r="R375" s="282">
        <f t="shared" si="59"/>
        <v>0</v>
      </c>
      <c r="S375" s="266">
        <f t="shared" si="60"/>
        <v>7464.9299999999639</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f>-SUMIFS(BV_Data_An_Cour!$AM:$AM,BV_Data_An_Cour!$AS:$AS,"Oui",BV_Data_An_Cour!$AP:$AP,$B376,BV_Data_An_Cour!$AQ:$AQ,$C376)</f>
        <v>99855.679999999935</v>
      </c>
      <c r="K376" s="327">
        <f t="shared" si="55"/>
        <v>0.27012774836644299</v>
      </c>
      <c r="L376" s="266">
        <f>-SUMIFS(BV_Data_An_Cour!$AM:$AM,BV_Data_An_Cour!$AP:$AP,$B376,BV_Data_An_Cour!$AQ:$AQ,$C376,BV_Data_An_Cour!$AR:$AR,$L$2)</f>
        <v>26973.790000000037</v>
      </c>
      <c r="M376" s="282" t="e">
        <f t="shared" si="56"/>
        <v>#DIV/0!</v>
      </c>
      <c r="N376" s="266">
        <f t="shared" si="57"/>
        <v>26973.790000000037</v>
      </c>
      <c r="O376" s="281">
        <f>-SUMIFS(BV_Data_An_Prec!$AM:$AM,BV_Data_An_Prec!$AS:$AS,"Oui",BV_Data_An_Prec!$AP:$AP,$B376,BV_Data_An_Prec!$AQ:$AQ,$C376)</f>
        <v>0</v>
      </c>
      <c r="P376" s="327">
        <f t="shared" si="58"/>
        <v>0</v>
      </c>
      <c r="Q376" s="266">
        <f>-SUMIFS(BV_Data_An_Prec!$AM:$AM,BV_Data_An_Prec!$AP:$AP,$B376,BV_Data_An_Prec!$AQ:$AQ,$C376,BV_Data_An_Prec!$AR:$AR,$L$2)</f>
        <v>0</v>
      </c>
      <c r="R376" s="282">
        <f t="shared" si="59"/>
        <v>0</v>
      </c>
      <c r="S376" s="266">
        <f t="shared" si="60"/>
        <v>26973.790000000037</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f>-SUMIFS(BV_Data_An_Cour!$AM:$AM,BV_Data_An_Cour!$AP:$AP,$B378,BV_Data_An_Cour!$AQ:$AQ,$C378,BV_Data_An_Cour!$AR:$AR,$L$2)</f>
        <v>20164.75</v>
      </c>
      <c r="M378" s="282"/>
      <c r="N378" s="266">
        <f t="shared" si="57"/>
        <v>20164.75</v>
      </c>
      <c r="O378" s="281">
        <f>-SUMIFS(BV_Data_An_Prec!$AM:$AM,BV_Data_An_Prec!$AS:$AS,"Oui",BV_Data_An_Prec!$AP:$AP,$B378,BV_Data_An_Prec!$AQ:$AQ,$C378)</f>
        <v>0</v>
      </c>
      <c r="P378" s="327">
        <f t="shared" si="58"/>
        <v>0</v>
      </c>
      <c r="Q378" s="266">
        <f>-SUMIFS(BV_Data_An_Prec!$AM:$AM,BV_Data_An_Prec!$AP:$AP,$B378,BV_Data_An_Prec!$AQ:$AQ,$C378,BV_Data_An_Prec!$AR:$AR,$L$2)</f>
        <v>0</v>
      </c>
      <c r="R378" s="282">
        <f t="shared" si="59"/>
        <v>0</v>
      </c>
      <c r="S378" s="266">
        <f t="shared" si="60"/>
        <v>20164.75</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f>-SUMIFS(BV_Data_An_Cour!$AM:$AM,BV_Data_An_Cour!$AP:$AP,$B379,BV_Data_An_Cour!$AQ:$AQ,$C379,BV_Data_An_Cour!$AR:$AR,$L$2)</f>
        <v>7051.6500000000015</v>
      </c>
      <c r="M379" s="282"/>
      <c r="N379" s="266">
        <f t="shared" si="57"/>
        <v>7051.6500000000015</v>
      </c>
      <c r="O379" s="281">
        <f>-SUMIFS(BV_Data_An_Prec!$AM:$AM,BV_Data_An_Prec!$AS:$AS,"Oui",BV_Data_An_Prec!$AP:$AP,$B379,BV_Data_An_Prec!$AQ:$AQ,$C379)</f>
        <v>0</v>
      </c>
      <c r="P379" s="327">
        <f t="shared" si="58"/>
        <v>0</v>
      </c>
      <c r="Q379" s="266">
        <f>-SUMIFS(BV_Data_An_Prec!$AM:$AM,BV_Data_An_Prec!$AP:$AP,$B379,BV_Data_An_Prec!$AQ:$AQ,$C379,BV_Data_An_Prec!$AR:$AR,$L$2)</f>
        <v>0</v>
      </c>
      <c r="R379" s="282">
        <f t="shared" si="59"/>
        <v>0</v>
      </c>
      <c r="S379" s="266">
        <f t="shared" si="60"/>
        <v>7051.6500000000015</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f t="shared" ref="J380" si="62">SUM(J371:J379)</f>
        <v>301780.58999999997</v>
      </c>
      <c r="K380" s="370">
        <f t="shared" si="55"/>
        <v>0.38901464802623692</v>
      </c>
      <c r="L380" s="356">
        <f>SUM(L371:L379)</f>
        <v>117397.07000000009</v>
      </c>
      <c r="M380" s="371" t="e">
        <f>(+J380-D380)/D380</f>
        <v>#DIV/0!</v>
      </c>
      <c r="N380" s="356">
        <f t="shared" si="57"/>
        <v>117397.07000000009</v>
      </c>
      <c r="O380" s="355">
        <f t="shared" ref="O380" si="63">SUM(O371:O379)</f>
        <v>0</v>
      </c>
      <c r="P380" s="370">
        <f t="shared" si="58"/>
        <v>0</v>
      </c>
      <c r="Q380" s="356">
        <f>SUM(Q371:Q379)</f>
        <v>0</v>
      </c>
      <c r="R380" s="371">
        <f t="shared" si="59"/>
        <v>0</v>
      </c>
      <c r="S380" s="356">
        <f t="shared" si="60"/>
        <v>117397.07000000009</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f>-SUMIFS(BV_Data_An_Cour!$AM:$AM,BV_Data_An_Cour!$AS:$AS,"Oui",BV_Data_An_Cour!$AP:$AP,$B383,BV_Data_An_Cour!$AQ:$AQ,$C383)</f>
        <v>45122.559999999983</v>
      </c>
      <c r="K383" s="327">
        <f t="shared" ref="K383:K385" si="64">IF(J383&lt;=0,0,L383/J383)</f>
        <v>0.1252014513360942</v>
      </c>
      <c r="L383" s="303">
        <f>-SUMIFS(BV_Data_An_Cour!$AM:$AM,BV_Data_An_Cour!$AP:$AP,$B383,BV_Data_An_Cour!$AQ:$AQ,$C383,BV_Data_An_Cour!$AR:$AR,$L$2)</f>
        <v>5649.4099999999889</v>
      </c>
      <c r="M383" s="282" t="e">
        <f>(+J383-D383)/D383</f>
        <v>#DIV/0!</v>
      </c>
      <c r="N383" s="266">
        <f>L383-F383</f>
        <v>5649.4099999999889</v>
      </c>
      <c r="O383" s="281">
        <f>-SUMIFS(BV_Data_An_Prec!$AM:$AM,BV_Data_An_Prec!$AS:$AS,"Oui",BV_Data_An_Prec!$AP:$AP,$B383,BV_Data_An_Prec!$AQ:$AQ,$C383)</f>
        <v>0</v>
      </c>
      <c r="P383" s="327">
        <f t="shared" ref="P383:P385" si="65">IF(O383&lt;=0,0,Q383/O383)</f>
        <v>0</v>
      </c>
      <c r="Q383" s="303">
        <f>-SUMIFS(BV_Data_An_Prec!$AM:$AM,BV_Data_An_Prec!$AP:$AP,$B383,BV_Data_An_Prec!$AQ:$AQ,$C383,BV_Data_An_Prec!$AR:$AR,$L$2)</f>
        <v>0</v>
      </c>
      <c r="R383" s="282">
        <f t="shared" ref="R383:R385" si="66">IF(O383=0,0,(J383-O383)/O383)</f>
        <v>0</v>
      </c>
      <c r="S383" s="266">
        <f t="shared" ref="S383:S385" si="67">L383-Q383</f>
        <v>5649.4099999999889</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f>-SUMIFS(BV_Data_An_Cour!$AM:$AM,BV_Data_An_Cour!$AS:$AS,"Oui",BV_Data_An_Cour!$AP:$AP,$B384,BV_Data_An_Cour!$AQ:$AQ,$C384)</f>
        <v>11596</v>
      </c>
      <c r="K384" s="327">
        <f t="shared" si="64"/>
        <v>0.27465677819937895</v>
      </c>
      <c r="L384" s="286">
        <f>-SUMIFS(BV_Data_An_Cour!$AM:$AM,BV_Data_An_Cour!$AP:$AP,$B384,BV_Data_An_Cour!$AQ:$AQ,$C384,BV_Data_An_Cour!$AR:$AR,$L$2)</f>
        <v>3184.9199999999983</v>
      </c>
      <c r="M384" s="282" t="e">
        <f>(+J384-D384)/D384</f>
        <v>#DIV/0!</v>
      </c>
      <c r="N384" s="266">
        <f>L384-F384</f>
        <v>3184.9199999999983</v>
      </c>
      <c r="O384" s="281">
        <f>-SUMIFS(BV_Data_An_Prec!$AM:$AM,BV_Data_An_Prec!$AS:$AS,"Oui",BV_Data_An_Prec!$AP:$AP,$B384,BV_Data_An_Prec!$AQ:$AQ,$C384)</f>
        <v>0</v>
      </c>
      <c r="P384" s="327">
        <f t="shared" si="65"/>
        <v>0</v>
      </c>
      <c r="Q384" s="286">
        <f>-SUMIFS(BV_Data_An_Prec!$AM:$AM,BV_Data_An_Prec!$AP:$AP,$B384,BV_Data_An_Prec!$AQ:$AQ,$C384,BV_Data_An_Prec!$AR:$AR,$L$2)</f>
        <v>0</v>
      </c>
      <c r="R384" s="282">
        <f t="shared" si="66"/>
        <v>0</v>
      </c>
      <c r="S384" s="266">
        <f t="shared" si="67"/>
        <v>3184.9199999999983</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f t="shared" ref="J385" si="68">J380+J383+J384</f>
        <v>358499.14999999997</v>
      </c>
      <c r="K385" s="370">
        <f t="shared" si="64"/>
        <v>0.35211073722211084</v>
      </c>
      <c r="L385" s="356">
        <f>L380+L383+L384</f>
        <v>126231.40000000008</v>
      </c>
      <c r="M385" s="371" t="e">
        <f>(+J385-D385)/D385</f>
        <v>#DIV/0!</v>
      </c>
      <c r="N385" s="356">
        <f>L385-F385</f>
        <v>126231.40000000008</v>
      </c>
      <c r="O385" s="357">
        <f t="shared" ref="O385" si="69">O380+O383+O384</f>
        <v>0</v>
      </c>
      <c r="P385" s="370">
        <f t="shared" si="65"/>
        <v>0</v>
      </c>
      <c r="Q385" s="356">
        <f>Q380+Q383+Q384</f>
        <v>0</v>
      </c>
      <c r="R385" s="371">
        <f t="shared" si="66"/>
        <v>0</v>
      </c>
      <c r="S385" s="356">
        <f t="shared" si="67"/>
        <v>126231.40000000008</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f>J385+J388</f>
        <v>358499.14999999997</v>
      </c>
      <c r="K390" s="373">
        <f>IF(J390&lt;=0,0,L390/J390)</f>
        <v>0.35211073722211084</v>
      </c>
      <c r="L390" s="271">
        <f>L385+L388</f>
        <v>126231.40000000008</v>
      </c>
      <c r="M390" s="272" t="e">
        <f>(+J390-D390)/D390</f>
        <v>#DIV/0!</v>
      </c>
      <c r="N390" s="271">
        <f>L390-F390</f>
        <v>126231.40000000008</v>
      </c>
      <c r="O390" s="272">
        <f t="shared" ref="O390" si="70">O385+O388</f>
        <v>0</v>
      </c>
      <c r="P390" s="373">
        <f>IF(O390&lt;=0,0,Q390/O390)</f>
        <v>0</v>
      </c>
      <c r="Q390" s="271">
        <f>Q385+Q388</f>
        <v>0</v>
      </c>
      <c r="R390" s="363">
        <f>IF(O390=0,0,(J390-O390)/O390)</f>
        <v>0</v>
      </c>
      <c r="S390" s="271">
        <f>L390-Q390</f>
        <v>126231.40000000008</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f>SUMIFS(BV_Data_An_Cour!$AM:$AM,BV_Data_An_Cour!$AP:$AP,$B394,BV_Data_An_Cour!$AQ:$AQ,$C394,BV_Data_An_Cour!$AR:$AR,$L$2)</f>
        <v>-3236.41</v>
      </c>
      <c r="M394" s="243"/>
      <c r="N394" s="246">
        <f t="shared" ref="N394:N424" si="71">L394-F394</f>
        <v>-3236.41</v>
      </c>
      <c r="O394" s="243"/>
      <c r="P394" s="38"/>
      <c r="Q394" s="266">
        <f>SUMIFS(BV_Data_An_Prec!$AM:$AM,BV_Data_An_Prec!$AP:$AP,$B394,BV_Data_An_Prec!$AQ:$AQ,$C394,BV_Data_An_Prec!$AR:$AR,$L$2)</f>
        <v>0</v>
      </c>
      <c r="R394" s="243"/>
      <c r="S394" s="266">
        <f t="shared" ref="S394:S424" si="72">L394-Q394</f>
        <v>-3236.41</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f>SUMIFS(BV_Data_An_Cour!$AM:$AM,BV_Data_An_Cour!$AP:$AP,$B395,BV_Data_An_Cour!$AQ:$AQ,$C395,BV_Data_An_Cour!$AR:$AR,$L$2)</f>
        <v>3159.4700000000012</v>
      </c>
      <c r="M395" s="243"/>
      <c r="N395" s="246">
        <f t="shared" si="71"/>
        <v>3159.4700000000012</v>
      </c>
      <c r="O395" s="243"/>
      <c r="P395" s="38"/>
      <c r="Q395" s="266">
        <f>SUMIFS(BV_Data_An_Prec!$AM:$AM,BV_Data_An_Prec!$AP:$AP,$B395,BV_Data_An_Prec!$AQ:$AQ,$C395,BV_Data_An_Prec!$AR:$AR,$L$2)</f>
        <v>0</v>
      </c>
      <c r="R395" s="243"/>
      <c r="S395" s="266">
        <f t="shared" si="72"/>
        <v>3159.4700000000012</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f>SUMIFS(BV_Data_An_Cour!$AM:$AM,BV_Data_An_Cour!$AP:$AP,$B396,BV_Data_An_Cour!$AQ:$AQ,$C396,BV_Data_An_Cour!$AR:$AR,$L$2)</f>
        <v>19707.420000000013</v>
      </c>
      <c r="M396" s="233"/>
      <c r="N396" s="262">
        <f t="shared" si="71"/>
        <v>19707.420000000013</v>
      </c>
      <c r="O396" s="233"/>
      <c r="P396" s="301"/>
      <c r="Q396" s="303">
        <f>SUMIFS(BV_Data_An_Prec!$AM:$AM,BV_Data_An_Prec!$AP:$AP,$B396,BV_Data_An_Prec!$AQ:$AQ,$C396,BV_Data_An_Prec!$AR:$AR,$L$2)</f>
        <v>0</v>
      </c>
      <c r="R396" s="233"/>
      <c r="S396" s="303">
        <f t="shared" si="72"/>
        <v>19707.420000000013</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f>SUMIFS(BV_Data_An_Cour!$AM:$AM,BV_Data_An_Cour!$AP:$AP,$B401,BV_Data_An_Cour!$AQ:$AQ,$C401,BV_Data_An_Cour!$AR:$AR,$L$2)</f>
        <v>2218.1500000000015</v>
      </c>
      <c r="M401" s="243"/>
      <c r="N401" s="246">
        <f t="shared" si="71"/>
        <v>2218.1500000000015</v>
      </c>
      <c r="O401" s="243"/>
      <c r="P401" s="38"/>
      <c r="Q401" s="266">
        <f>SUMIFS(BV_Data_An_Prec!$AM:$AM,BV_Data_An_Prec!$AP:$AP,$B401,BV_Data_An_Prec!$AQ:$AQ,$C401,BV_Data_An_Prec!$AR:$AR,$L$2)</f>
        <v>0</v>
      </c>
      <c r="R401" s="243"/>
      <c r="S401" s="266">
        <f t="shared" si="72"/>
        <v>2218.1500000000015</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f>SUMIFS(BV_Data_An_Cour!$AM:$AM,BV_Data_An_Cour!$AP:$AP,$B402,BV_Data_An_Cour!$AQ:$AQ,$C402,BV_Data_An_Cour!$AR:$AR,$L$2)</f>
        <v>2592</v>
      </c>
      <c r="M402" s="233"/>
      <c r="N402" s="262">
        <f t="shared" si="71"/>
        <v>2592</v>
      </c>
      <c r="O402" s="233"/>
      <c r="P402" s="301"/>
      <c r="Q402" s="303">
        <f>SUMIFS(BV_Data_An_Prec!$AM:$AM,BV_Data_An_Prec!$AP:$AP,$B402,BV_Data_An_Prec!$AQ:$AQ,$C402,BV_Data_An_Prec!$AR:$AR,$L$2)</f>
        <v>0</v>
      </c>
      <c r="R402" s="233"/>
      <c r="S402" s="303">
        <f t="shared" si="72"/>
        <v>2592</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f>SUMIFS(BV_Data_An_Cour!$AM:$AM,BV_Data_An_Cour!$AP:$AP,$B403,BV_Data_An_Cour!$AQ:$AQ,$C403,BV_Data_An_Cour!$AR:$AR,$L$2)</f>
        <v>191.03999999999905</v>
      </c>
      <c r="M403" s="243"/>
      <c r="N403" s="246">
        <f t="shared" si="71"/>
        <v>191.03999999999905</v>
      </c>
      <c r="O403" s="243"/>
      <c r="P403" s="38"/>
      <c r="Q403" s="266">
        <f>SUMIFS(BV_Data_An_Prec!$AM:$AM,BV_Data_An_Prec!$AP:$AP,$B403,BV_Data_An_Prec!$AQ:$AQ,$C403,BV_Data_An_Prec!$AR:$AR,$L$2)</f>
        <v>0</v>
      </c>
      <c r="R403" s="243"/>
      <c r="S403" s="266">
        <f t="shared" si="72"/>
        <v>191.03999999999905</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f>SUMIFS(BV_Data_An_Cour!$AM:$AM,BV_Data_An_Cour!$AP:$AP,$B404,BV_Data_An_Cour!$AQ:$AQ,$C404,BV_Data_An_Cour!$AR:$AR,$L$2)</f>
        <v>88.049999999999955</v>
      </c>
      <c r="M404" s="243"/>
      <c r="N404" s="246">
        <f t="shared" si="71"/>
        <v>88.049999999999955</v>
      </c>
      <c r="O404" s="243"/>
      <c r="P404" s="38"/>
      <c r="Q404" s="266">
        <f>SUMIFS(BV_Data_An_Prec!$AM:$AM,BV_Data_An_Prec!$AP:$AP,$B404,BV_Data_An_Prec!$AQ:$AQ,$C404,BV_Data_An_Prec!$AR:$AR,$L$2)</f>
        <v>0</v>
      </c>
      <c r="R404" s="243"/>
      <c r="S404" s="266">
        <f t="shared" si="72"/>
        <v>88.049999999999955</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f>L406/L$390</f>
        <v>0.19582861316597927</v>
      </c>
      <c r="L406" s="294">
        <f>+SUM(L394:L405)</f>
        <v>24719.720000000012</v>
      </c>
      <c r="M406" s="296"/>
      <c r="N406" s="294">
        <f t="shared" si="71"/>
        <v>24719.720000000012</v>
      </c>
      <c r="O406" s="295" t="s">
        <v>115</v>
      </c>
      <c r="P406" s="293" t="e">
        <f>Q406/Q$390</f>
        <v>#DIV/0!</v>
      </c>
      <c r="Q406" s="294">
        <f>+SUM(Q394:Q405)</f>
        <v>0</v>
      </c>
      <c r="R406" s="297"/>
      <c r="S406" s="294">
        <f t="shared" si="72"/>
        <v>24719.720000000012</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f>SUMIFS(BV_Data_An_Cour!$AM:$AM,BV_Data_An_Cour!$AP:$AP,$B407,BV_Data_An_Cour!$AQ:$AQ,$C407,BV_Data_An_Cour!$AR:$AR,$L$2)</f>
        <v>1344.3300000000006</v>
      </c>
      <c r="M407" s="243"/>
      <c r="N407" s="266">
        <f t="shared" si="71"/>
        <v>1344.3300000000006</v>
      </c>
      <c r="O407" s="243"/>
      <c r="P407" s="38"/>
      <c r="Q407" s="266">
        <f>SUMIFS(BV_Data_An_Prec!$AM:$AM,BV_Data_An_Prec!$AP:$AP,$B407,BV_Data_An_Prec!$AQ:$AQ,$C407,BV_Data_An_Prec!$AR:$AR,$L$2)</f>
        <v>0</v>
      </c>
      <c r="R407" s="243"/>
      <c r="S407" s="266">
        <f t="shared" si="72"/>
        <v>1344.3300000000006</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f>SUMIFS(BV_Data_An_Cour!$AM:$AM,BV_Data_An_Cour!$AP:$AP,$B408,BV_Data_An_Cour!$AQ:$AQ,$C408,BV_Data_An_Cour!$AR:$AR,$L$2)</f>
        <v>0</v>
      </c>
      <c r="M408" s="243"/>
      <c r="N408" s="266">
        <f t="shared" si="71"/>
        <v>0</v>
      </c>
      <c r="O408" s="243"/>
      <c r="P408" s="38"/>
      <c r="Q408" s="266">
        <f>SUMIFS(BV_Data_An_Prec!$AM:$AM,BV_Data_An_Prec!$AP:$AP,$B408,BV_Data_An_Prec!$AQ:$AQ,$C408,BV_Data_An_Prec!$AR:$AR,$L$2)</f>
        <v>0</v>
      </c>
      <c r="R408" s="243"/>
      <c r="S408" s="266">
        <f t="shared" si="72"/>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f>SUMIFS(BV_Data_An_Cour!$AM:$AM,BV_Data_An_Cour!$AP:$AP,$B409,BV_Data_An_Cour!$AQ:$AQ,$C409,BV_Data_An_Cour!$AR:$AR,$L$2)</f>
        <v>2637.7999999999993</v>
      </c>
      <c r="M409" s="238"/>
      <c r="N409" s="286">
        <f t="shared" si="71"/>
        <v>2637.7999999999993</v>
      </c>
      <c r="O409" s="238"/>
      <c r="P409" s="304"/>
      <c r="Q409" s="286">
        <f>SUMIFS(BV_Data_An_Prec!$AM:$AM,BV_Data_An_Prec!$AP:$AP,$B409,BV_Data_An_Prec!$AQ:$AQ,$C409,BV_Data_An_Prec!$AR:$AR,$L$2)</f>
        <v>0</v>
      </c>
      <c r="R409" s="238"/>
      <c r="S409" s="286">
        <f t="shared" si="72"/>
        <v>2637.7999999999993</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f>SUMIFS(BV_Data_An_Cour!$AM:$AM,BV_Data_An_Cour!$AP:$AP,$B410,BV_Data_An_Cour!$AQ:$AQ,$C410,BV_Data_An_Cour!$AR:$AR,$L$2)</f>
        <v>1907.1500000000015</v>
      </c>
      <c r="M410" s="243"/>
      <c r="N410" s="266">
        <f t="shared" si="71"/>
        <v>1907.1500000000015</v>
      </c>
      <c r="O410" s="243"/>
      <c r="P410" s="38"/>
      <c r="Q410" s="266">
        <f>SUMIFS(BV_Data_An_Prec!$AM:$AM,BV_Data_An_Prec!$AP:$AP,$B410,BV_Data_An_Prec!$AQ:$AQ,$C410,BV_Data_An_Prec!$AR:$AR,$L$2)</f>
        <v>0</v>
      </c>
      <c r="R410" s="243"/>
      <c r="S410" s="266">
        <f t="shared" si="72"/>
        <v>1907.1500000000015</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f>SUMIFS(BV_Data_An_Cour!$AM:$AM,BV_Data_An_Cour!$AP:$AP,$B411,BV_Data_An_Cour!$AQ:$AQ,$C411,BV_Data_An_Cour!$AR:$AR,$L$2)</f>
        <v>150</v>
      </c>
      <c r="M411" s="243"/>
      <c r="N411" s="266">
        <f t="shared" si="71"/>
        <v>150</v>
      </c>
      <c r="O411" s="243"/>
      <c r="P411" s="38"/>
      <c r="Q411" s="266">
        <f>SUMIFS(BV_Data_An_Prec!$AM:$AM,BV_Data_An_Prec!$AP:$AP,$B411,BV_Data_An_Prec!$AQ:$AQ,$C411,BV_Data_An_Prec!$AR:$AR,$L$2)</f>
        <v>0</v>
      </c>
      <c r="R411" s="243"/>
      <c r="S411" s="266">
        <f t="shared" si="72"/>
        <v>150</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f>SUMIFS(BV_Data_An_Cour!$AM:$AM,BV_Data_An_Cour!$AP:$AP,$B412,BV_Data_An_Cour!$AQ:$AQ,$C412,BV_Data_An_Cour!$AR:$AR,$L$2)</f>
        <v>3821.5700000000006</v>
      </c>
      <c r="M412" s="238"/>
      <c r="N412" s="286">
        <f t="shared" si="71"/>
        <v>3821.5700000000006</v>
      </c>
      <c r="O412" s="238"/>
      <c r="P412" s="304"/>
      <c r="Q412" s="286">
        <f>SUMIFS(BV_Data_An_Prec!$AM:$AM,BV_Data_An_Prec!$AP:$AP,$B412,BV_Data_An_Prec!$AQ:$AQ,$C412,BV_Data_An_Prec!$AR:$AR,$L$2)</f>
        <v>0</v>
      </c>
      <c r="R412" s="238"/>
      <c r="S412" s="286">
        <f t="shared" si="72"/>
        <v>3821.5700000000006</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f>SUMIFS(BV_Data_An_Cour!$AM:$AM,BV_Data_An_Cour!$AP:$AP,$B414,BV_Data_An_Cour!$AQ:$AQ,$C414,BV_Data_An_Cour!$AR:$AR,$L$2)</f>
        <v>440.75</v>
      </c>
      <c r="M414" s="243"/>
      <c r="N414" s="266">
        <f t="shared" si="71"/>
        <v>440.75</v>
      </c>
      <c r="O414" s="243"/>
      <c r="P414" s="38"/>
      <c r="Q414" s="266">
        <f>SUMIFS(BV_Data_An_Prec!$AM:$AM,BV_Data_An_Prec!$AP:$AP,$B414,BV_Data_An_Prec!$AQ:$AQ,$C414,BV_Data_An_Prec!$AR:$AR,$L$2)</f>
        <v>0</v>
      </c>
      <c r="R414" s="243"/>
      <c r="S414" s="266">
        <f t="shared" si="72"/>
        <v>440.75</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f>SUMIFS(BV_Data_An_Cour!$AM:$AM,BV_Data_An_Cour!$AP:$AP,$B416,BV_Data_An_Cour!$AQ:$AQ,$C416,BV_Data_An_Cour!$AR:$AR,$L$2)</f>
        <v>1188.46</v>
      </c>
      <c r="M416" s="243"/>
      <c r="N416" s="266">
        <f t="shared" si="71"/>
        <v>1188.46</v>
      </c>
      <c r="O416" s="243"/>
      <c r="P416" s="38"/>
      <c r="Q416" s="266">
        <f>SUMIFS(BV_Data_An_Prec!$AM:$AM,BV_Data_An_Prec!$AP:$AP,$B416,BV_Data_An_Prec!$AQ:$AQ,$C416,BV_Data_An_Prec!$AR:$AR,$L$2)</f>
        <v>0</v>
      </c>
      <c r="R416" s="243"/>
      <c r="S416" s="266">
        <f t="shared" si="72"/>
        <v>1188.46</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f>SUMIFS(BV_Data_An_Cour!$AM:$AM,BV_Data_An_Cour!$AP:$AP,$B417,BV_Data_An_Cour!$AQ:$AQ,$C417,BV_Data_An_Cour!$AR:$AR,$L$2)</f>
        <v>175.32000000000016</v>
      </c>
      <c r="M417" s="243"/>
      <c r="N417" s="266">
        <f t="shared" si="71"/>
        <v>175.32000000000016</v>
      </c>
      <c r="O417" s="243"/>
      <c r="P417" s="38"/>
      <c r="Q417" s="266">
        <f>SUMIFS(BV_Data_An_Prec!$AM:$AM,BV_Data_An_Prec!$AP:$AP,$B417,BV_Data_An_Prec!$AQ:$AQ,$C417,BV_Data_An_Prec!$AR:$AR,$L$2)</f>
        <v>0</v>
      </c>
      <c r="R417" s="243"/>
      <c r="S417" s="266">
        <f t="shared" si="72"/>
        <v>175.32000000000016</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f>SUMIFS(BV_Data_An_Cour!$AM:$AM,BV_Data_An_Cour!$AP:$AP,$B418,BV_Data_An_Cour!$AQ:$AQ,$C418,BV_Data_An_Cour!$AR:$AR,$L$2)</f>
        <v>239.92000000000007</v>
      </c>
      <c r="M418" s="243"/>
      <c r="N418" s="266">
        <f t="shared" si="71"/>
        <v>239.92000000000007</v>
      </c>
      <c r="O418" s="243"/>
      <c r="P418" s="38"/>
      <c r="Q418" s="266">
        <f>SUMIFS(BV_Data_An_Prec!$AM:$AM,BV_Data_An_Prec!$AP:$AP,$B418,BV_Data_An_Prec!$AQ:$AQ,$C418,BV_Data_An_Prec!$AR:$AR,$L$2)</f>
        <v>0</v>
      </c>
      <c r="R418" s="243"/>
      <c r="S418" s="266">
        <f t="shared" si="72"/>
        <v>239.92000000000007</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f>SUMIFS(BV_Data_An_Cour!$AM:$AM,BV_Data_An_Cour!$AP:$AP,$B419,BV_Data_An_Cour!$AQ:$AQ,$C419,BV_Data_An_Cour!$AR:$AR,$L$2)</f>
        <v>2030.5699999999997</v>
      </c>
      <c r="M419" s="243"/>
      <c r="N419" s="266">
        <f t="shared" si="71"/>
        <v>2030.5699999999997</v>
      </c>
      <c r="O419" s="243"/>
      <c r="P419" s="38"/>
      <c r="Q419" s="266">
        <f>SUMIFS(BV_Data_An_Prec!$AM:$AM,BV_Data_An_Prec!$AP:$AP,$B419,BV_Data_An_Prec!$AQ:$AQ,$C419,BV_Data_An_Prec!$AR:$AR,$L$2)</f>
        <v>0</v>
      </c>
      <c r="R419" s="243"/>
      <c r="S419" s="266">
        <f t="shared" si="72"/>
        <v>2030.5699999999997</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f>SUMIFS(BV_Data_An_Cour!$AM:$AM,BV_Data_An_Cour!$AP:$AP,$B420,BV_Data_An_Cour!$AQ:$AQ,$C420,BV_Data_An_Cour!$AR:$AR,$L$2)</f>
        <v>-1331.5</v>
      </c>
      <c r="M420" s="243"/>
      <c r="N420" s="266">
        <f t="shared" si="71"/>
        <v>-1331.5</v>
      </c>
      <c r="O420" s="243"/>
      <c r="P420" s="38"/>
      <c r="Q420" s="266">
        <f>SUMIFS(BV_Data_An_Prec!$AM:$AM,BV_Data_An_Prec!$AP:$AP,$B420,BV_Data_An_Prec!$AQ:$AQ,$C420,BV_Data_An_Prec!$AR:$AR,$L$2)</f>
        <v>0</v>
      </c>
      <c r="R420" s="243"/>
      <c r="S420" s="266">
        <f t="shared" si="72"/>
        <v>-1331.5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f>SUMIFS(BV_Data_An_Cour!$AM:$AM,BV_Data_An_Cour!$AP:$AP,$B421,BV_Data_An_Cour!$AQ:$AQ,$C421,BV_Data_An_Cour!$AR:$AR,$L$2)</f>
        <v>146.29000000000008</v>
      </c>
      <c r="M421" s="243"/>
      <c r="N421" s="266">
        <f t="shared" si="71"/>
        <v>146.29000000000008</v>
      </c>
      <c r="O421" s="243"/>
      <c r="P421" s="38"/>
      <c r="Q421" s="266">
        <f>SUMIFS(BV_Data_An_Prec!$AM:$AM,BV_Data_An_Prec!$AP:$AP,$B421,BV_Data_An_Prec!$AQ:$AQ,$C421,BV_Data_An_Prec!$AR:$AR,$L$2)</f>
        <v>0</v>
      </c>
      <c r="R421" s="243"/>
      <c r="S421" s="266">
        <f t="shared" si="72"/>
        <v>146.29000000000008</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0.10101020823661937</v>
      </c>
      <c r="L425" s="294">
        <f>+SUM(L407:L424)</f>
        <v>12750.660000000002</v>
      </c>
      <c r="M425" s="296"/>
      <c r="N425" s="294">
        <f>+SUM(N407:N424)</f>
        <v>12750.660000000002</v>
      </c>
      <c r="O425" s="295" t="s">
        <v>115</v>
      </c>
      <c r="P425" s="293" t="e">
        <f>Q425/Q$390</f>
        <v>#DIV/0!</v>
      </c>
      <c r="Q425" s="294">
        <f>+SUM(Q407:Q424)</f>
        <v>0</v>
      </c>
      <c r="R425" s="297"/>
      <c r="S425" s="294">
        <f>+SUM(S407:S424)</f>
        <v>12750.660000000002</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0.2968388214025986</v>
      </c>
      <c r="L427" s="294">
        <f>L406+L425</f>
        <v>37470.380000000012</v>
      </c>
      <c r="M427" s="296"/>
      <c r="N427" s="294">
        <f>L427-F427</f>
        <v>37470.380000000012</v>
      </c>
      <c r="O427" s="295" t="s">
        <v>115</v>
      </c>
      <c r="P427" s="293" t="e">
        <f>Q427/Q$390</f>
        <v>#DIV/0!</v>
      </c>
      <c r="Q427" s="294">
        <f>Q406+Q425</f>
        <v>0</v>
      </c>
      <c r="R427" s="297"/>
      <c r="S427" s="294">
        <f>L427-Q427</f>
        <v>37470.380000000012</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88761.020000000077</v>
      </c>
      <c r="M429" s="960"/>
      <c r="N429" s="958">
        <f>L429-F429</f>
        <v>88761.020000000077</v>
      </c>
      <c r="O429" s="959"/>
      <c r="P429" s="957"/>
      <c r="Q429" s="958">
        <f>Q390-Q427</f>
        <v>0</v>
      </c>
      <c r="R429" s="961"/>
      <c r="S429" s="958">
        <f>L429-Q429</f>
        <v>88761.020000000077</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Octobre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f>SUMIFS(BV_Data_An_Cour!$AW:$AW,BV_Data_An_Cour!$AP:$AP,$B437,BV_Data_An_Cour!$AQ:$AQ,$C437,BV_Data_An_Cour!$AY:$AY,J$2)</f>
        <v>0</v>
      </c>
      <c r="K437" s="922">
        <f>-SUMIFS(BV_Data_An_Cour!$AM:$AM,BV_Data_An_Cour!$AS:$AS,"Oui",BV_Data_An_Cour!$AP:$AP,$B437,BV_Data_An_Cour!$AQ:$AQ,$C437)</f>
        <v>0</v>
      </c>
      <c r="L437" s="658">
        <f>-SUMIFS(BV_Data_An_Cour!$AM:$AM,BV_Data_An_Cour!$AP:$AP,$B437,BV_Data_An_Cour!$AQ:$AQ,$C437,BV_Data_An_Cour!$AR:$AR,$L$2)</f>
        <v>0</v>
      </c>
      <c r="M437" s="925">
        <f>IFERROR((K437-E437)/E437,0)</f>
        <v>0</v>
      </c>
      <c r="N437" s="658">
        <f>L437-F437</f>
        <v>0</v>
      </c>
      <c r="O437" s="924">
        <f>SUMIFS(BV_Data_An_Prec!$AW:$AW,BV_Data_An_Prec!$AP:$AP,$B437,BV_Data_An_Prec!$AQ:$AQ,$C437,BV_Data_An_Prec!$AY:$AY,O$2)</f>
        <v>0</v>
      </c>
      <c r="P437" s="922">
        <f>-SUMIFS(BV_Data_An_Prec!$AM:$AM,BV_Data_An_Prec!$AS:$AS,"Oui",BV_Data_An_Prec!$AP:$AP,$B437,BV_Data_An_Prec!$AQ:$AQ,$C437)</f>
        <v>0</v>
      </c>
      <c r="Q437" s="658">
        <f>-SUMIFS(BV_Data_An_Prec!$AM:$AM,BV_Data_An_Prec!$AP:$AP,$B437,BV_Data_An_Prec!$AQ:$AQ,$C437,BV_Data_An_Prec!$AR:$AR,$L$2)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f>SUMIFS(BV_Data_An_Cour!$AW:$AW,BV_Data_An_Cour!$AP:$AP,$B440,BV_Data_An_Cour!$AQ:$AQ,$C440,BV_Data_An_Cour!$AY:$AY,J$2)</f>
        <v>551</v>
      </c>
      <c r="K440" s="336">
        <f>-SUMIFS(BV_Data_An_Cour!$AM:$AM,BV_Data_An_Cour!$AS:$AS,"Oui",BV_Data_An_Cour!$AP:$AP,$B440,BV_Data_An_Cour!$AQ:$AQ,$C440)</f>
        <v>85221.689999999944</v>
      </c>
      <c r="L440" s="303">
        <f>-SUMIFS(BV_Data_An_Cour!$AM:$AM,BV_Data_An_Cour!$AP:$AP,$B440,BV_Data_An_Cour!$AQ:$AQ,$C440,BV_Data_An_Cour!$AR:$AR,$L$2)</f>
        <v>62582.219999999943</v>
      </c>
      <c r="M440" s="340">
        <f>IFERROR((K440-E440)/E440,0)</f>
        <v>0</v>
      </c>
      <c r="N440" s="303">
        <f>L440-F440</f>
        <v>62582.219999999943</v>
      </c>
      <c r="O440" s="337">
        <f>SUMIFS(BV_Data_An_Prec!$AW:$AW,BV_Data_An_Prec!$AP:$AP,$B440,BV_Data_An_Prec!$AQ:$AQ,$C440,BV_Data_An_Prec!$AY:$AY,O$2)</f>
        <v>0</v>
      </c>
      <c r="P440" s="336">
        <f>-SUMIFS(BV_Data_An_Prec!$AM:$AM,BV_Data_An_Prec!$AS:$AS,"Oui",BV_Data_An_Prec!$AP:$AP,$B440,BV_Data_An_Prec!$AQ:$AQ,$C440)</f>
        <v>0</v>
      </c>
      <c r="Q440" s="303">
        <f>-SUMIFS(BV_Data_An_Prec!$AM:$AM,BV_Data_An_Prec!$AP:$AP,$B440,BV_Data_An_Prec!$AQ:$AQ,$C440,BV_Data_An_Prec!$AR:$AR,$L$2)</f>
        <v>0</v>
      </c>
      <c r="R440" s="282">
        <f>IF(O440=0,0,J440/O440)</f>
        <v>0</v>
      </c>
      <c r="S440" s="266">
        <f>L440-Q440</f>
        <v>62582.219999999943</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0.73434615061024944</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f>SUMIFS(BV_Data_An_Cour!$AW:$AW,BV_Data_An_Cour!$AP:$AP,$B443,BV_Data_An_Cour!$AQ:$AQ,$C443,BV_Data_An_Cour!$AY:$AY,J$2)</f>
        <v>15</v>
      </c>
      <c r="K443" s="281">
        <f>-SUMIFS(BV_Data_An_Cour!$AM:$AM,BV_Data_An_Cour!$AS:$AS,"Oui",BV_Data_An_Cour!$AP:$AP,$B443,BV_Data_An_Cour!$AQ:$AQ,$C443)</f>
        <v>1855</v>
      </c>
      <c r="L443" s="266">
        <f>-SUMIFS(BV_Data_An_Cour!$AM:$AM,BV_Data_An_Cour!$AP:$AP,$B443,BV_Data_An_Cour!$AQ:$AQ,$C443,BV_Data_An_Cour!$AR:$AR,$L$2)</f>
        <v>1437.5900000000001</v>
      </c>
      <c r="M443" s="282">
        <f>IFERROR((K443-E443)/E443,0)</f>
        <v>0</v>
      </c>
      <c r="N443" s="303">
        <f>L443-F443</f>
        <v>1437.5900000000001</v>
      </c>
      <c r="O443" s="337">
        <f>SUMIFS(BV_Data_An_Prec!$AW:$AW,BV_Data_An_Prec!$AP:$AP,$B443,BV_Data_An_Prec!$AQ:$AQ,$C443,BV_Data_An_Prec!$AY:$AY,O$2)</f>
        <v>0</v>
      </c>
      <c r="P443" s="281">
        <f>-SUMIFS(BV_Data_An_Prec!$AM:$AM,BV_Data_An_Prec!$AS:$AS,"Oui",BV_Data_An_Prec!$AP:$AP,$B443,BV_Data_An_Prec!$AQ:$AQ,$C443)</f>
        <v>0</v>
      </c>
      <c r="Q443" s="266">
        <f>-SUMIFS(BV_Data_An_Prec!$AM:$AM,BV_Data_An_Prec!$AP:$AP,$B443,BV_Data_An_Prec!$AQ:$AQ,$C443,BV_Data_An_Prec!$AR:$AR,$L$2)</f>
        <v>0</v>
      </c>
      <c r="R443" s="282">
        <f>IF(O443=0,0,J443/O443)</f>
        <v>0</v>
      </c>
      <c r="S443" s="266">
        <f>L443-Q443</f>
        <v>1437.5900000000001</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0.77498113207547181</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f>K437+K440+K443</f>
        <v>87076.689999999944</v>
      </c>
      <c r="L448" s="271">
        <f>L437+L440+L443</f>
        <v>64019.809999999939</v>
      </c>
      <c r="M448" s="272"/>
      <c r="N448" s="271"/>
      <c r="O448" s="272"/>
      <c r="P448" s="269">
        <f>P437+P440+P443</f>
        <v>0</v>
      </c>
      <c r="Q448" s="271">
        <f>Q437+Q440+Q443</f>
        <v>0</v>
      </c>
      <c r="R448" s="272">
        <f>IF(O448=0,0,(J448-O448)/O448)</f>
        <v>0</v>
      </c>
      <c r="S448" s="271">
        <f>L448-Q448</f>
        <v>64019.809999999939</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f>L448/K448</f>
        <v>0.7352118000810548</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f>SUMIFS(BV_Data_An_Cour!$AM:$AM,BV_Data_An_Cour!$AP:$AP,$B452,BV_Data_An_Cour!$AQ:$AQ,$C452,BV_Data_An_Cour!$AR:$AR,$L$2)</f>
        <v>0</v>
      </c>
      <c r="M452" s="243"/>
      <c r="N452" s="253"/>
      <c r="O452" s="243"/>
      <c r="P452" s="38"/>
      <c r="Q452" s="266">
        <f>SUMIFS(BV_Data_An_Prec!$AM:$AM,BV_Data_An_Prec!$AP:$AP,$B452,BV_Data_An_Prec!$AQ:$AQ,$C452,BV_Data_An_Prec!$AR:$AR,$L$2)</f>
        <v>0</v>
      </c>
      <c r="R452" s="243"/>
      <c r="S452" s="266">
        <f t="shared" ref="S452:S481" si="73">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f>SUMIFS(BV_Data_An_Cour!$AM:$AM,BV_Data_An_Cour!$AP:$AP,$B453,BV_Data_An_Cour!$AQ:$AQ,$C453,BV_Data_An_Cour!$AR:$AR,$L$2)</f>
        <v>0</v>
      </c>
      <c r="M453" s="243"/>
      <c r="N453" s="266"/>
      <c r="O453" s="243"/>
      <c r="P453" s="38"/>
      <c r="Q453" s="286">
        <f>SUMIFS(BV_Data_An_Prec!$AM:$AM,BV_Data_An_Prec!$AP:$AP,$B453,BV_Data_An_Prec!$AQ:$AQ,$C453,BV_Data_An_Prec!$AR:$AR,$L$2)</f>
        <v>0</v>
      </c>
      <c r="R453" s="243"/>
      <c r="S453" s="266">
        <f t="shared" si="73"/>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f>SUMIFS(BV_Data_An_Cour!$AM:$AM,BV_Data_An_Cour!$AP:$AP,$B454,BV_Data_An_Cour!$AQ:$AQ,$C454,BV_Data_An_Cour!$AR:$AR,$L$2)</f>
        <v>0</v>
      </c>
      <c r="M454" s="233"/>
      <c r="N454" s="303"/>
      <c r="O454" s="233"/>
      <c r="P454" s="301"/>
      <c r="Q454" s="266">
        <f>SUMIFS(BV_Data_An_Prec!$AM:$AM,BV_Data_An_Prec!$AP:$AP,$B454,BV_Data_An_Prec!$AQ:$AQ,$C454,BV_Data_An_Prec!$AR:$AR,$L$2)</f>
        <v>0</v>
      </c>
      <c r="R454" s="233"/>
      <c r="S454" s="303">
        <f t="shared" si="73"/>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f>SUMIFS(BV_Data_An_Cour!$AM:$AM,BV_Data_An_Cour!$AP:$AP,$B459,BV_Data_An_Cour!$AQ:$AQ,$C459,BV_Data_An_Cour!$AR:$AR,$L$2)</f>
        <v>0</v>
      </c>
      <c r="M459" s="243"/>
      <c r="N459" s="266"/>
      <c r="O459" s="243"/>
      <c r="P459" s="38"/>
      <c r="Q459" s="286">
        <f>SUMIFS(BV_Data_An_Prec!$AM:$AM,BV_Data_An_Prec!$AP:$AP,$B459,BV_Data_An_Prec!$AQ:$AQ,$C459,BV_Data_An_Prec!$AR:$AR,$L$2)</f>
        <v>0</v>
      </c>
      <c r="R459" s="243"/>
      <c r="S459" s="266">
        <f t="shared" si="73"/>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f>SUMIFS(BV_Data_An_Cour!$AM:$AM,BV_Data_An_Cour!$AP:$AP,$B460,BV_Data_An_Cour!$AQ:$AQ,$C460,BV_Data_An_Cour!$AR:$AR,$L$2)</f>
        <v>0</v>
      </c>
      <c r="M460" s="233"/>
      <c r="N460" s="303"/>
      <c r="O460" s="233"/>
      <c r="P460" s="301"/>
      <c r="Q460" s="266">
        <f>SUMIFS(BV_Data_An_Prec!$AM:$AM,BV_Data_An_Prec!$AP:$AP,$B460,BV_Data_An_Prec!$AQ:$AQ,$C460,BV_Data_An_Prec!$AR:$AR,$L$2)</f>
        <v>0</v>
      </c>
      <c r="R460" s="233"/>
      <c r="S460" s="303">
        <f t="shared" si="73"/>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f>SUMIFS(BV_Data_An_Cour!$AM:$AM,BV_Data_An_Cour!$AP:$AP,$B461,BV_Data_An_Cour!$AQ:$AQ,$C461,BV_Data_An_Cour!$AR:$AR,$L$2)</f>
        <v>0</v>
      </c>
      <c r="M461" s="243"/>
      <c r="N461" s="266"/>
      <c r="O461" s="243"/>
      <c r="P461" s="38"/>
      <c r="Q461" s="266">
        <f>SUMIFS(BV_Data_An_Prec!$AM:$AM,BV_Data_An_Prec!$AP:$AP,$B461,BV_Data_An_Prec!$AQ:$AQ,$C461,BV_Data_An_Prec!$AR:$AR,$L$2)</f>
        <v>0</v>
      </c>
      <c r="R461" s="243"/>
      <c r="S461" s="266">
        <f t="shared" si="73"/>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f>SUMIFS(BV_Data_An_Cour!$AM:$AM,BV_Data_An_Cour!$AP:$AP,$B462,BV_Data_An_Cour!$AQ:$AQ,$C462,BV_Data_An_Cour!$AR:$AR,$L$2)</f>
        <v>0</v>
      </c>
      <c r="M462" s="243"/>
      <c r="N462" s="266"/>
      <c r="O462" s="243"/>
      <c r="P462" s="38"/>
      <c r="Q462" s="266">
        <f>SUMIFS(BV_Data_An_Prec!$AM:$AM,BV_Data_An_Prec!$AP:$AP,$B462,BV_Data_An_Prec!$AQ:$AQ,$C462,BV_Data_An_Prec!$AR:$AR,$L$2)</f>
        <v>0</v>
      </c>
      <c r="R462" s="243"/>
      <c r="S462" s="266">
        <f t="shared" si="73"/>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73"/>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f>SUMIFS(BV_Data_An_Cour!$AM:$AM,BV_Data_An_Cour!$AP:$AP,$B465,BV_Data_An_Cour!$AQ:$AQ,$C465,BV_Data_An_Cour!$AR:$AR,$L$2)</f>
        <v>0</v>
      </c>
      <c r="M465" s="243"/>
      <c r="N465" s="266"/>
      <c r="O465" s="243"/>
      <c r="P465" s="38"/>
      <c r="Q465" s="266">
        <f>SUMIFS(BV_Data_An_Prec!$AM:$AM,BV_Data_An_Prec!$AP:$AP,$B465,BV_Data_An_Prec!$AQ:$AQ,$C465,BV_Data_An_Prec!$AR:$AR,$L$2)</f>
        <v>0</v>
      </c>
      <c r="R465" s="243"/>
      <c r="S465" s="266">
        <f t="shared" si="73"/>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f>SUMIFS(BV_Data_An_Cour!$AM:$AM,BV_Data_An_Cour!$AP:$AP,$B468,BV_Data_An_Cour!$AQ:$AQ,$C468,BV_Data_An_Cour!$AR:$AR,$L$2)</f>
        <v>0</v>
      </c>
      <c r="M468" s="243"/>
      <c r="N468" s="266"/>
      <c r="O468" s="243"/>
      <c r="P468" s="38"/>
      <c r="Q468" s="266">
        <f>SUMIFS(BV_Data_An_Prec!$AM:$AM,BV_Data_An_Prec!$AP:$AP,$B468,BV_Data_An_Prec!$AQ:$AQ,$C468,BV_Data_An_Prec!$AR:$AR,$L$2)</f>
        <v>0</v>
      </c>
      <c r="R468" s="243"/>
      <c r="S468" s="266">
        <f t="shared" si="73"/>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f>SUMIFS(BV_Data_An_Cour!$AM:$AM,BV_Data_An_Cour!$AP:$AP,$B470,BV_Data_An_Cour!$AQ:$AQ,$C470,BV_Data_An_Cour!$AR:$AR,$L$2)</f>
        <v>0</v>
      </c>
      <c r="M470" s="238"/>
      <c r="N470" s="286"/>
      <c r="O470" s="238"/>
      <c r="P470" s="304"/>
      <c r="Q470" s="286">
        <f>SUMIFS(BV_Data_An_Prec!$AM:$AM,BV_Data_An_Prec!$AP:$AP,$B470,BV_Data_An_Prec!$AQ:$AQ,$C470,BV_Data_An_Prec!$AR:$AR,$L$2)</f>
        <v>0</v>
      </c>
      <c r="R470" s="238"/>
      <c r="S470" s="286">
        <f t="shared" si="73"/>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f>SUMIFS(BV_Data_An_Cour!$AM:$AM,BV_Data_An_Cour!$AP:$AP,$B476,BV_Data_An_Cour!$AQ:$AQ,$C476,BV_Data_An_Cour!$AR:$AR,$L$2)</f>
        <v>0</v>
      </c>
      <c r="M476" s="243"/>
      <c r="N476" s="266"/>
      <c r="O476" s="243"/>
      <c r="P476" s="38"/>
      <c r="Q476" s="266">
        <f>SUMIFS(BV_Data_An_Prec!$AM:$AM,BV_Data_An_Prec!$AP:$AP,$B476,BV_Data_An_Prec!$AQ:$AQ,$C476,BV_Data_An_Prec!$AR:$AR,$L$2)</f>
        <v>0</v>
      </c>
      <c r="R476" s="243"/>
      <c r="S476" s="266">
        <f t="shared" si="73"/>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64019.809999999939</v>
      </c>
      <c r="M486" s="960"/>
      <c r="N486" s="958"/>
      <c r="O486" s="959"/>
      <c r="P486" s="957"/>
      <c r="Q486" s="958">
        <f>Q448-Q484</f>
        <v>0</v>
      </c>
      <c r="R486" s="961"/>
      <c r="S486" s="958">
        <f>L486-Q486</f>
        <v>64019.809999999939</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Octobre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f>L5+L93+L173+K268+K326+J390+K448</f>
        <v>20726705.679999992</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f>AF494/AF493</f>
        <v>4.400586152386543E-2</v>
      </c>
      <c r="AE494" s="393"/>
      <c r="AF494" s="391">
        <f>L27+L109+L182+L268+L326+L390+L448</f>
        <v>912096.5399999948</v>
      </c>
      <c r="AG494" s="392"/>
      <c r="AH494" s="393" t="e">
        <f>AF494-Z494</f>
        <v>#REF!</v>
      </c>
      <c r="AI494" s="394" t="e">
        <f>AH494/Z494</f>
        <v>#REF!</v>
      </c>
      <c r="AJ494" s="754" t="e">
        <f>AL494/AL493</f>
        <v>#DIV/0!</v>
      </c>
      <c r="AK494" s="393"/>
      <c r="AL494" s="391">
        <f>Q27+Q109+Q182+Q268+Q326+Q390+Q448</f>
        <v>0</v>
      </c>
      <c r="AM494" s="395"/>
      <c r="AN494" s="393">
        <f>AF494-AL494</f>
        <v>912096.5399999948</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f>IF(AF496=0,0,AF496/(J$13+J$97))</f>
        <v>89.233258426966643</v>
      </c>
      <c r="AF496" s="399">
        <f t="shared" ref="AF496:AF502" si="76">+SUMIF($C:$C,$V496,L:L)</f>
        <v>7941.7600000000311</v>
      </c>
      <c r="AG496" s="400" t="e">
        <f t="shared" ref="AG496:AG505" si="77">AE496-Y496</f>
        <v>#DIV/0!</v>
      </c>
      <c r="AH496" s="401">
        <f t="shared" ref="AH496:AH505" si="78">AF496-Z496</f>
        <v>7941.7600000000311</v>
      </c>
      <c r="AI496" s="402">
        <f t="shared" ref="AI496:AI505" si="79">IF(Z496=0,0,AH496/Z496)</f>
        <v>0</v>
      </c>
      <c r="AJ496" s="407"/>
      <c r="AK496" s="401">
        <f>IF(AL496=0,0,AL496/(O$13+O$97))</f>
        <v>0</v>
      </c>
      <c r="AL496" s="399">
        <f>SUMIFS(BV_Data_An_Prec!$AM:$AM,BV_Data_An_Prec!$AQ:$AQ,$V496)</f>
        <v>0</v>
      </c>
      <c r="AM496" s="403">
        <f>AE496-AK496</f>
        <v>89.233258426966643</v>
      </c>
      <c r="AN496" s="401">
        <f>AF496-AL496</f>
        <v>7941.7600000000311</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f t="shared" ref="AE497:AE504" si="80">IF(AF497=0,0,AF497/(J$13+J$97))</f>
        <v>144.22573033707869</v>
      </c>
      <c r="AF497" s="383">
        <f t="shared" si="76"/>
        <v>12836.090000000004</v>
      </c>
      <c r="AG497" s="384" t="e">
        <f t="shared" si="77"/>
        <v>#DIV/0!</v>
      </c>
      <c r="AH497" s="385">
        <f t="shared" si="78"/>
        <v>12836.090000000004</v>
      </c>
      <c r="AI497" s="412">
        <f t="shared" si="79"/>
        <v>0</v>
      </c>
      <c r="AJ497" s="411"/>
      <c r="AK497" s="385">
        <f t="shared" ref="AK497:AK504" si="81">IF(AL497=0,0,AL497/(O$13+O$97))</f>
        <v>0</v>
      </c>
      <c r="AL497" s="383">
        <f>SUMIFS(BV_Data_An_Prec!$AM:$AM,BV_Data_An_Prec!$AQ:$AQ,$V497)</f>
        <v>0</v>
      </c>
      <c r="AM497" s="993">
        <f t="shared" ref="AM497:AM504" si="82">AE497-AK497</f>
        <v>144.22573033707869</v>
      </c>
      <c r="AN497" s="385">
        <f t="shared" ref="AN497:AN504" si="83">AF497-AL497</f>
        <v>12836.090000000004</v>
      </c>
      <c r="AO497" s="388">
        <f t="shared" ref="AO497:AO504" si="84">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f t="shared" si="80"/>
        <v>-140.84247191011238</v>
      </c>
      <c r="AF498" s="399">
        <f t="shared" si="76"/>
        <v>-12534.980000000001</v>
      </c>
      <c r="AG498" s="400" t="e">
        <f t="shared" si="77"/>
        <v>#DIV/0!</v>
      </c>
      <c r="AH498" s="401">
        <f t="shared" si="78"/>
        <v>-12534.980000000001</v>
      </c>
      <c r="AI498" s="402">
        <f t="shared" si="79"/>
        <v>0</v>
      </c>
      <c r="AJ498" s="407"/>
      <c r="AK498" s="401">
        <f t="shared" si="81"/>
        <v>0</v>
      </c>
      <c r="AL498" s="399">
        <f>SUMIFS(BV_Data_An_Prec!$AM:$AM,BV_Data_An_Prec!$AQ:$AQ,$V498)</f>
        <v>0</v>
      </c>
      <c r="AM498" s="403">
        <f t="shared" si="82"/>
        <v>-140.84247191011238</v>
      </c>
      <c r="AN498" s="401">
        <f t="shared" si="83"/>
        <v>-12534.980000000001</v>
      </c>
      <c r="AO498" s="408">
        <f t="shared" si="84"/>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f t="shared" si="80"/>
        <v>16.935056179775277</v>
      </c>
      <c r="AF499" s="399">
        <f t="shared" si="76"/>
        <v>1507.2199999999996</v>
      </c>
      <c r="AG499" s="400" t="e">
        <f t="shared" si="77"/>
        <v>#DIV/0!</v>
      </c>
      <c r="AH499" s="401">
        <f t="shared" si="78"/>
        <v>1507.2199999999996</v>
      </c>
      <c r="AI499" s="402">
        <f t="shared" si="79"/>
        <v>0</v>
      </c>
      <c r="AJ499" s="407"/>
      <c r="AK499" s="401">
        <f t="shared" si="81"/>
        <v>0</v>
      </c>
      <c r="AL499" s="399">
        <f>SUMIFS(BV_Data_An_Prec!$AM:$AM,BV_Data_An_Prec!$AQ:$AQ,$V499)</f>
        <v>0</v>
      </c>
      <c r="AM499" s="403">
        <f t="shared" si="82"/>
        <v>16.935056179775277</v>
      </c>
      <c r="AN499" s="401">
        <f t="shared" si="83"/>
        <v>1507.2199999999996</v>
      </c>
      <c r="AO499" s="408">
        <f t="shared" si="84"/>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f t="shared" si="80"/>
        <v>295.21393258426963</v>
      </c>
      <c r="AF501" s="399">
        <f t="shared" si="76"/>
        <v>26274.039999999997</v>
      </c>
      <c r="AG501" s="400" t="e">
        <f t="shared" si="77"/>
        <v>#DIV/0!</v>
      </c>
      <c r="AH501" s="401">
        <f t="shared" si="78"/>
        <v>26274.039999999997</v>
      </c>
      <c r="AI501" s="402">
        <f t="shared" si="79"/>
        <v>0</v>
      </c>
      <c r="AJ501" s="407"/>
      <c r="AK501" s="401">
        <f t="shared" si="81"/>
        <v>0</v>
      </c>
      <c r="AL501" s="399">
        <f>SUMIFS(BV_Data_An_Prec!$AM:$AM,BV_Data_An_Prec!$AQ:$AQ,$V501)</f>
        <v>0</v>
      </c>
      <c r="AM501" s="403">
        <f t="shared" si="82"/>
        <v>295.21393258426963</v>
      </c>
      <c r="AN501" s="401">
        <f t="shared" si="83"/>
        <v>26274.039999999997</v>
      </c>
      <c r="AO501" s="408">
        <f t="shared" si="84"/>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f t="shared" si="80"/>
        <v>660.90089887640477</v>
      </c>
      <c r="AF502" s="399">
        <f t="shared" si="76"/>
        <v>58820.180000000022</v>
      </c>
      <c r="AG502" s="704" t="e">
        <f t="shared" si="77"/>
        <v>#DIV/0!</v>
      </c>
      <c r="AH502" s="659">
        <f t="shared" si="78"/>
        <v>58820.180000000022</v>
      </c>
      <c r="AI502" s="402">
        <f t="shared" si="79"/>
        <v>0</v>
      </c>
      <c r="AJ502" s="407"/>
      <c r="AK502" s="401">
        <f t="shared" si="81"/>
        <v>0</v>
      </c>
      <c r="AL502" s="399">
        <f>SUMIFS(BV_Data_An_Prec!$AM:$AM,BV_Data_An_Prec!$AQ:$AQ,$V502)</f>
        <v>0</v>
      </c>
      <c r="AM502" s="403">
        <f t="shared" si="82"/>
        <v>660.90089887640477</v>
      </c>
      <c r="AN502" s="401">
        <f t="shared" si="83"/>
        <v>58820.180000000022</v>
      </c>
      <c r="AO502" s="408">
        <f t="shared" si="84"/>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3129</v>
      </c>
      <c r="W503" s="405"/>
      <c r="X503" s="402"/>
      <c r="Y503" s="406" t="e">
        <f t="shared" si="74"/>
        <v>#DIV/0!</v>
      </c>
      <c r="Z503" s="399">
        <f>IFERROR(SUMIF($C:$C,$V503,F:F),0)</f>
        <v>0</v>
      </c>
      <c r="AA503" s="398"/>
      <c r="AB503" s="406"/>
      <c r="AC503" s="399"/>
      <c r="AD503" s="407"/>
      <c r="AE503" s="401">
        <f>IF(AF503=0,0,AF503/(J$13+J$97))</f>
        <v>-4042.0650561797756</v>
      </c>
      <c r="AF503" s="399">
        <f>IFERROR(SUMIF($C:$C,$V503,L:L),0)</f>
        <v>-359743.79000000004</v>
      </c>
      <c r="AG503" s="400" t="e">
        <f t="shared" si="77"/>
        <v>#DIV/0!</v>
      </c>
      <c r="AH503" s="401">
        <f t="shared" si="78"/>
        <v>-359743.79000000004</v>
      </c>
      <c r="AI503" s="402">
        <f t="shared" si="79"/>
        <v>0</v>
      </c>
      <c r="AJ503" s="407"/>
      <c r="AK503" s="401">
        <f t="shared" si="81"/>
        <v>0</v>
      </c>
      <c r="AL503" s="399">
        <f>SUMIFS(BV_Data_An_Prec!$AM:$AM,BV_Data_An_Prec!$AQ:$AQ,$V503)</f>
        <v>0</v>
      </c>
      <c r="AM503" s="403">
        <f>AE503-AK503</f>
        <v>-4042.0650561797756</v>
      </c>
      <c r="AN503" s="401">
        <f t="shared" si="83"/>
        <v>-359743.79000000004</v>
      </c>
      <c r="AO503" s="408">
        <f t="shared" si="84"/>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3130</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f>AF506/AF494</f>
        <v>-0.29042921267961558</v>
      </c>
      <c r="AE506" s="419"/>
      <c r="AF506" s="416">
        <f>SUM(AF496:AF505)</f>
        <v>-264899.48</v>
      </c>
      <c r="AG506" s="418"/>
      <c r="AH506" s="419">
        <f t="shared" ref="AH506:AH538" si="88">AF506-Z506</f>
        <v>-264899.48</v>
      </c>
      <c r="AI506" s="415" t="e">
        <f>AH506/Z506</f>
        <v>#DIV/0!</v>
      </c>
      <c r="AJ506" s="417" t="e">
        <f>AL506/AL494</f>
        <v>#DIV/0!</v>
      </c>
      <c r="AK506" s="419"/>
      <c r="AL506" s="416">
        <f>SUM(AL496:AL505)</f>
        <v>0</v>
      </c>
      <c r="AM506" s="423"/>
      <c r="AN506" s="419">
        <f t="shared" si="86"/>
        <v>-264899.48</v>
      </c>
      <c r="AO506" s="396">
        <f t="shared" si="87"/>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f>SUMIFS(BV_Data_An_Cour!$AM:$AM,BV_Data_An_Cour!$AQ:$AQ,$V507)</f>
        <v>0</v>
      </c>
      <c r="AG507" s="400"/>
      <c r="AH507" s="401">
        <f t="shared" si="88"/>
        <v>0</v>
      </c>
      <c r="AI507" s="402">
        <f t="shared" ref="AI507:AI519" si="89">IF(Z507=0,0,AH507/Z507)</f>
        <v>0</v>
      </c>
      <c r="AJ507" s="407"/>
      <c r="AK507" s="406"/>
      <c r="AL507" s="399">
        <f>SUMIFS(BV_Data_An_Prec!$AM:$AM,BV_Data_An_Prec!$AQ:$AQ,$V507)</f>
        <v>0</v>
      </c>
      <c r="AM507" s="403"/>
      <c r="AN507" s="401">
        <f t="shared" si="86"/>
        <v>0</v>
      </c>
      <c r="AO507" s="408">
        <f t="shared" si="87"/>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f>+SUMIF($C:$C,$V508,L:L)</f>
        <v>71757.38</v>
      </c>
      <c r="AG508" s="400"/>
      <c r="AH508" s="401">
        <f t="shared" si="88"/>
        <v>71757.38</v>
      </c>
      <c r="AI508" s="402">
        <f t="shared" si="89"/>
        <v>0</v>
      </c>
      <c r="AJ508" s="407"/>
      <c r="AK508" s="406"/>
      <c r="AL508" s="399">
        <f>SUMIFS(BV_Data_An_Prec!$AM:$AM,BV_Data_An_Prec!$AQ:$AQ,$V508)</f>
        <v>0</v>
      </c>
      <c r="AM508" s="403"/>
      <c r="AN508" s="401">
        <f t="shared" si="86"/>
        <v>71757.38</v>
      </c>
      <c r="AO508" s="408">
        <f t="shared" si="87"/>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f>+SUMIF($C:$C,$V509,L:L)</f>
        <v>95236.320000000022</v>
      </c>
      <c r="AG509" s="384"/>
      <c r="AH509" s="385">
        <f t="shared" si="88"/>
        <v>95236.320000000022</v>
      </c>
      <c r="AI509" s="412">
        <f t="shared" si="89"/>
        <v>0</v>
      </c>
      <c r="AJ509" s="411"/>
      <c r="AK509" s="410"/>
      <c r="AL509" s="383">
        <f>SUMIFS(BV_Data_An_Prec!$AM:$AM,BV_Data_An_Prec!$AQ:$AQ,$V509)</f>
        <v>0</v>
      </c>
      <c r="AM509" s="387"/>
      <c r="AN509" s="385">
        <f t="shared" si="86"/>
        <v>95236.320000000022</v>
      </c>
      <c r="AO509" s="388">
        <f t="shared" si="87"/>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f>+SUMIF($C:$C,$V510,L:L)</f>
        <v>-6785.8699999999662</v>
      </c>
      <c r="AG510" s="400"/>
      <c r="AH510" s="401">
        <f t="shared" si="88"/>
        <v>-6785.8699999999662</v>
      </c>
      <c r="AI510" s="402">
        <f t="shared" si="89"/>
        <v>0</v>
      </c>
      <c r="AJ510" s="407"/>
      <c r="AK510" s="406"/>
      <c r="AL510" s="399">
        <f>SUMIFS(BV_Data_An_Prec!$AM:$AM,BV_Data_An_Prec!$AQ:$AQ,$V510)</f>
        <v>0</v>
      </c>
      <c r="AM510" s="403"/>
      <c r="AN510" s="401">
        <f t="shared" si="86"/>
        <v>-6785.8699999999662</v>
      </c>
      <c r="AO510" s="408">
        <f t="shared" si="87"/>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f>+SUMIF($C:$C,$V515,L:L)</f>
        <v>40750.05000000001</v>
      </c>
      <c r="AG515" s="384"/>
      <c r="AH515" s="385">
        <f t="shared" si="88"/>
        <v>40750.05000000001</v>
      </c>
      <c r="AI515" s="412">
        <f t="shared" si="89"/>
        <v>0</v>
      </c>
      <c r="AJ515" s="411"/>
      <c r="AK515" s="410"/>
      <c r="AL515" s="383">
        <f>SUMIFS(BV_Data_An_Prec!$AM:$AM,BV_Data_An_Prec!$AQ:$AQ,$V515)</f>
        <v>0</v>
      </c>
      <c r="AM515" s="387"/>
      <c r="AN515" s="385">
        <f t="shared" si="86"/>
        <v>40750.05000000001</v>
      </c>
      <c r="AO515" s="388">
        <f t="shared" si="87"/>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f>+SUMIF($C:$C,$V516,L:L)</f>
        <v>44020.240000000005</v>
      </c>
      <c r="AG516" s="400"/>
      <c r="AH516" s="401">
        <f t="shared" si="88"/>
        <v>44020.240000000005</v>
      </c>
      <c r="AI516" s="402">
        <f t="shared" si="89"/>
        <v>0</v>
      </c>
      <c r="AJ516" s="407"/>
      <c r="AK516" s="406"/>
      <c r="AL516" s="399">
        <f>SUMIFS(BV_Data_An_Prec!$AM:$AM,BV_Data_An_Prec!$AQ:$AQ,$V516)</f>
        <v>0</v>
      </c>
      <c r="AM516" s="403"/>
      <c r="AN516" s="401">
        <f t="shared" si="86"/>
        <v>44020.240000000005</v>
      </c>
      <c r="AO516" s="408">
        <f t="shared" si="87"/>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f>+SUMIF($C:$C,$V517,L:L)</f>
        <v>13876.79</v>
      </c>
      <c r="AG517" s="400"/>
      <c r="AH517" s="401">
        <f t="shared" si="88"/>
        <v>13876.79</v>
      </c>
      <c r="AI517" s="402">
        <f t="shared" si="89"/>
        <v>0</v>
      </c>
      <c r="AJ517" s="407"/>
      <c r="AK517" s="406"/>
      <c r="AL517" s="399">
        <f>SUMIFS(BV_Data_An_Prec!$AM:$AM,BV_Data_An_Prec!$AQ:$AQ,$V517)</f>
        <v>0</v>
      </c>
      <c r="AM517" s="403"/>
      <c r="AN517" s="401">
        <f t="shared" si="86"/>
        <v>13876.79</v>
      </c>
      <c r="AO517" s="408">
        <f t="shared" si="87"/>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f>+SUMIF($C:$C,$V518,L:L)</f>
        <v>1103.5899999999999</v>
      </c>
      <c r="AG518" s="400"/>
      <c r="AH518" s="401">
        <f t="shared" si="88"/>
        <v>1103.5899999999999</v>
      </c>
      <c r="AI518" s="420">
        <f t="shared" si="89"/>
        <v>0</v>
      </c>
      <c r="AJ518" s="407"/>
      <c r="AK518" s="406"/>
      <c r="AL518" s="399">
        <f>SUMIFS(BV_Data_An_Prec!$AM:$AM,BV_Data_An_Prec!$AQ:$AQ,$V518)</f>
        <v>0</v>
      </c>
      <c r="AM518" s="403"/>
      <c r="AN518" s="401">
        <f t="shared" si="86"/>
        <v>1103.5899999999999</v>
      </c>
      <c r="AO518" s="408">
        <f t="shared" si="87"/>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f>AF520/AF494</f>
        <v>0.28501204488726767</v>
      </c>
      <c r="AE520" s="421"/>
      <c r="AF520" s="416">
        <f>SUM(AF507:AF519)</f>
        <v>259958.50000000006</v>
      </c>
      <c r="AG520" s="418"/>
      <c r="AH520" s="419">
        <f t="shared" si="88"/>
        <v>259958.50000000006</v>
      </c>
      <c r="AI520" s="415" t="e">
        <f>AH520/Z520</f>
        <v>#DIV/0!</v>
      </c>
      <c r="AJ520" s="417" t="e">
        <f>AL520/AL494</f>
        <v>#DIV/0!</v>
      </c>
      <c r="AK520" s="421"/>
      <c r="AL520" s="416">
        <f>SUM(AL507:AL519)</f>
        <v>0</v>
      </c>
      <c r="AM520" s="423"/>
      <c r="AN520" s="419">
        <f t="shared" si="86"/>
        <v>259958.50000000006</v>
      </c>
      <c r="AO520" s="396">
        <f t="shared" si="87"/>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f>+SUMIF($C:$C,$V521,L:L)</f>
        <v>5685.8900000000021</v>
      </c>
      <c r="AG521" s="427"/>
      <c r="AH521" s="429">
        <f t="shared" si="88"/>
        <v>5685.8900000000021</v>
      </c>
      <c r="AI521" s="430">
        <f t="shared" ref="AI521:AI538" si="92">IF(Z521=0,0,AH521/Z521)</f>
        <v>0</v>
      </c>
      <c r="AJ521" s="427"/>
      <c r="AK521" s="428"/>
      <c r="AL521" s="426">
        <f>SUMIFS(BV_Data_An_Prec!$AM:$AM,BV_Data_An_Prec!$AQ:$AQ,$V521)</f>
        <v>0</v>
      </c>
      <c r="AM521" s="431"/>
      <c r="AN521" s="429">
        <f t="shared" si="86"/>
        <v>5685.8900000000021</v>
      </c>
      <c r="AO521" s="404">
        <f t="shared" si="87"/>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f>+SUMIF($C:$C,$V522,L:L)</f>
        <v>2207.1499999999996</v>
      </c>
      <c r="AG522" s="400"/>
      <c r="AH522" s="401">
        <f t="shared" si="88"/>
        <v>2207.1499999999996</v>
      </c>
      <c r="AI522" s="402">
        <f t="shared" si="92"/>
        <v>0</v>
      </c>
      <c r="AJ522" s="407"/>
      <c r="AK522" s="406"/>
      <c r="AL522" s="399">
        <f>SUMIFS(BV_Data_An_Prec!$AM:$AM,BV_Data_An_Prec!$AQ:$AQ,$V522)</f>
        <v>0</v>
      </c>
      <c r="AM522" s="403"/>
      <c r="AN522" s="401">
        <f t="shared" si="86"/>
        <v>2207.1499999999996</v>
      </c>
      <c r="AO522" s="408">
        <f t="shared" si="87"/>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f>+SUMIF($C:$C,$V523,L:L)</f>
        <v>25463.439999999999</v>
      </c>
      <c r="AG523" s="384"/>
      <c r="AH523" s="385">
        <f t="shared" si="88"/>
        <v>25463.439999999999</v>
      </c>
      <c r="AI523" s="412">
        <f t="shared" si="92"/>
        <v>0</v>
      </c>
      <c r="AJ523" s="411"/>
      <c r="AK523" s="410"/>
      <c r="AL523" s="383">
        <f>SUMIFS(BV_Data_An_Prec!$AM:$AM,BV_Data_An_Prec!$AQ:$AQ,$V523)</f>
        <v>0</v>
      </c>
      <c r="AM523" s="387"/>
      <c r="AN523" s="385">
        <f t="shared" si="86"/>
        <v>25463.439999999999</v>
      </c>
      <c r="AO523" s="388">
        <f t="shared" si="87"/>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f>+SUMIF($C:$C,$V524,L:L)</f>
        <v>13131.240000000002</v>
      </c>
      <c r="AG524" s="400"/>
      <c r="AH524" s="401">
        <f t="shared" si="88"/>
        <v>13131.240000000002</v>
      </c>
      <c r="AI524" s="402">
        <f t="shared" si="92"/>
        <v>0</v>
      </c>
      <c r="AJ524" s="407"/>
      <c r="AK524" s="406"/>
      <c r="AL524" s="399">
        <f>SUMIFS(BV_Data_An_Prec!$AM:$AM,BV_Data_An_Prec!$AQ:$AQ,$V524)</f>
        <v>0</v>
      </c>
      <c r="AM524" s="403"/>
      <c r="AN524" s="401">
        <f t="shared" si="86"/>
        <v>13131.240000000002</v>
      </c>
      <c r="AO524" s="408">
        <f t="shared" si="87"/>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f>+SUMIF($C:$C,$V525,L:L)</f>
        <v>1587.7999999999981</v>
      </c>
      <c r="AG525" s="400"/>
      <c r="AH525" s="401">
        <f t="shared" si="88"/>
        <v>1587.7999999999981</v>
      </c>
      <c r="AI525" s="402">
        <f t="shared" si="92"/>
        <v>0</v>
      </c>
      <c r="AJ525" s="407"/>
      <c r="AK525" s="406"/>
      <c r="AL525" s="399">
        <f>SUMIFS(BV_Data_An_Prec!$AM:$AM,BV_Data_An_Prec!$AQ:$AQ,$V525)</f>
        <v>0</v>
      </c>
      <c r="AM525" s="403"/>
      <c r="AN525" s="401">
        <f t="shared" si="86"/>
        <v>1587.7999999999981</v>
      </c>
      <c r="AO525" s="408">
        <f t="shared" si="87"/>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f>SUMIFS(BV_Data_An_Cour!$AM:$AM,BV_Data_An_Cour!$AQ:$AQ,$V526)</f>
        <v>39392.61</v>
      </c>
      <c r="AG526" s="400"/>
      <c r="AH526" s="401">
        <f t="shared" si="88"/>
        <v>39392.61</v>
      </c>
      <c r="AI526" s="402">
        <f t="shared" si="92"/>
        <v>0</v>
      </c>
      <c r="AJ526" s="407"/>
      <c r="AK526" s="406"/>
      <c r="AL526" s="399">
        <f>SUMIFS(BV_Data_An_Prec!$AM:$AM,BV_Data_An_Prec!$AQ:$AQ,$V526)</f>
        <v>0</v>
      </c>
      <c r="AM526" s="403"/>
      <c r="AN526" s="401">
        <f t="shared" si="86"/>
        <v>39392.61</v>
      </c>
      <c r="AO526" s="408">
        <f t="shared" si="87"/>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f t="shared" si="93"/>
        <v>7491.6500000000051</v>
      </c>
      <c r="AG528" s="400"/>
      <c r="AH528" s="401">
        <f t="shared" si="88"/>
        <v>7491.6500000000051</v>
      </c>
      <c r="AI528" s="402">
        <f t="shared" si="92"/>
        <v>0</v>
      </c>
      <c r="AJ528" s="407"/>
      <c r="AK528" s="406"/>
      <c r="AL528" s="399">
        <f>SUMIFS(BV_Data_An_Prec!$AM:$AM,BV_Data_An_Prec!$AQ:$AQ,$V528)</f>
        <v>0</v>
      </c>
      <c r="AM528" s="403"/>
      <c r="AN528" s="401">
        <f t="shared" si="86"/>
        <v>7491.6500000000051</v>
      </c>
      <c r="AO528" s="408">
        <f t="shared" si="87"/>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f t="shared" si="93"/>
        <v>-715.15999999999985</v>
      </c>
      <c r="AG530" s="400"/>
      <c r="AH530" s="401">
        <f t="shared" si="88"/>
        <v>-715.15999999999985</v>
      </c>
      <c r="AI530" s="402">
        <f t="shared" si="92"/>
        <v>0</v>
      </c>
      <c r="AJ530" s="407"/>
      <c r="AK530" s="406"/>
      <c r="AL530" s="399">
        <f>SUMIFS(BV_Data_An_Prec!$AM:$AM,BV_Data_An_Prec!$AQ:$AQ,$V530)</f>
        <v>0</v>
      </c>
      <c r="AM530" s="403"/>
      <c r="AN530" s="401">
        <f t="shared" si="86"/>
        <v>-715.15999999999985</v>
      </c>
      <c r="AO530" s="408">
        <f t="shared" si="87"/>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f t="shared" si="93"/>
        <v>1835.73</v>
      </c>
      <c r="AG531" s="400"/>
      <c r="AH531" s="401">
        <f t="shared" si="88"/>
        <v>1835.73</v>
      </c>
      <c r="AI531" s="420">
        <f t="shared" si="92"/>
        <v>0</v>
      </c>
      <c r="AJ531" s="407"/>
      <c r="AK531" s="406"/>
      <c r="AL531" s="399">
        <f>SUMIFS(BV_Data_An_Prec!$AM:$AM,BV_Data_An_Prec!$AQ:$AQ,$V531)</f>
        <v>0</v>
      </c>
      <c r="AM531" s="403"/>
      <c r="AN531" s="401">
        <f t="shared" si="86"/>
        <v>1835.73</v>
      </c>
      <c r="AO531" s="408">
        <f t="shared" si="87"/>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f t="shared" si="93"/>
        <v>2106.0099999999993</v>
      </c>
      <c r="AG532" s="400"/>
      <c r="AH532" s="401">
        <f t="shared" si="88"/>
        <v>2106.0099999999993</v>
      </c>
      <c r="AI532" s="402">
        <f t="shared" si="92"/>
        <v>0</v>
      </c>
      <c r="AJ532" s="407"/>
      <c r="AK532" s="406"/>
      <c r="AL532" s="399">
        <f>SUMIFS(BV_Data_An_Prec!$AM:$AM,BV_Data_An_Prec!$AQ:$AQ,$V532)</f>
        <v>0</v>
      </c>
      <c r="AM532" s="403"/>
      <c r="AN532" s="401">
        <f t="shared" si="86"/>
        <v>2106.0099999999993</v>
      </c>
      <c r="AO532" s="408">
        <f t="shared" si="87"/>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f>SUMIFS(BV_Data_An_Cour!$AM:$AM,BV_Data_An_Cour!$AQ:$AQ,$V533)</f>
        <v>10639.05</v>
      </c>
      <c r="AG533" s="400"/>
      <c r="AH533" s="401">
        <f t="shared" si="88"/>
        <v>10639.05</v>
      </c>
      <c r="AI533" s="420">
        <f t="shared" si="92"/>
        <v>0</v>
      </c>
      <c r="AJ533" s="407"/>
      <c r="AK533" s="406"/>
      <c r="AL533" s="399">
        <f>SUMIFS(BV_Data_An_Prec!$AM:$AM,BV_Data_An_Prec!$AQ:$AQ,$V533)</f>
        <v>0</v>
      </c>
      <c r="AM533" s="403"/>
      <c r="AN533" s="401">
        <f t="shared" si="86"/>
        <v>10639.05</v>
      </c>
      <c r="AO533" s="408">
        <f t="shared" si="87"/>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f>+SUMIF($C:$C,$V534,L:L)</f>
        <v>5942.2999999999984</v>
      </c>
      <c r="AG534" s="400"/>
      <c r="AH534" s="401">
        <f t="shared" si="88"/>
        <v>5942.2999999999984</v>
      </c>
      <c r="AI534" s="402">
        <f t="shared" si="92"/>
        <v>0</v>
      </c>
      <c r="AJ534" s="407"/>
      <c r="AK534" s="406"/>
      <c r="AL534" s="399">
        <f>SUMIFS(BV_Data_An_Prec!$AM:$AM,BV_Data_An_Prec!$AQ:$AQ,$V534)</f>
        <v>0</v>
      </c>
      <c r="AM534" s="403"/>
      <c r="AN534" s="401">
        <f t="shared" si="86"/>
        <v>5942.2999999999984</v>
      </c>
      <c r="AO534" s="408">
        <f t="shared" si="87"/>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f>SUMIFS(BV_Data_An_Cour!$AM:$AM,BV_Data_An_Cour!$AQ:$AQ,$V535)</f>
        <v>1493.75</v>
      </c>
      <c r="AG535" s="400"/>
      <c r="AH535" s="659">
        <f t="shared" si="88"/>
        <v>1493.75</v>
      </c>
      <c r="AI535" s="402">
        <f t="shared" si="92"/>
        <v>0</v>
      </c>
      <c r="AJ535" s="407"/>
      <c r="AK535" s="406"/>
      <c r="AL535" s="399">
        <f>SUMIFS(BV_Data_An_Prec!$AM:$AM,BV_Data_An_Prec!$AQ:$AQ,$V535)</f>
        <v>0</v>
      </c>
      <c r="AM535" s="403"/>
      <c r="AN535" s="401">
        <f t="shared" si="86"/>
        <v>1493.75</v>
      </c>
      <c r="AO535" s="408">
        <f t="shared" si="87"/>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3148</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f>AF539/AF494</f>
        <v>0.12746617808680721</v>
      </c>
      <c r="AE539" s="414"/>
      <c r="AF539" s="416">
        <f>+SUM(AF521:AF538)</f>
        <v>116261.46</v>
      </c>
      <c r="AG539" s="422"/>
      <c r="AH539" s="435">
        <f>+SUM(AH521:AH538)</f>
        <v>116261.46</v>
      </c>
      <c r="AI539" s="415" t="e">
        <f>AH539/Z539</f>
        <v>#DIV/0!</v>
      </c>
      <c r="AJ539" s="417" t="e">
        <f>AL539/AL494</f>
        <v>#DIV/0!</v>
      </c>
      <c r="AK539" s="414"/>
      <c r="AL539" s="416">
        <f>+SUM(AL521:AL538)</f>
        <v>0</v>
      </c>
      <c r="AM539" s="423"/>
      <c r="AN539" s="419">
        <f t="shared" si="86"/>
        <v>116261.46</v>
      </c>
      <c r="AO539" s="436">
        <f t="shared" si="87"/>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f>SUMIFS(BV_Data_An_Cour!$AM:$AM,BV_Data_An_Cour!$AQ:$AQ,$V540)</f>
        <v>131150.44</v>
      </c>
      <c r="AG540" s="400"/>
      <c r="AH540" s="401">
        <f t="shared" ref="AH540:AH548" si="94">AF540-Z540</f>
        <v>131150.44</v>
      </c>
      <c r="AI540" s="402">
        <f t="shared" ref="AI540:AI548" si="95">IF(Z540=0,0,AH540/Z540)</f>
        <v>0</v>
      </c>
      <c r="AJ540" s="407"/>
      <c r="AK540" s="406"/>
      <c r="AL540" s="399">
        <f>SUMIFS(BV_Data_An_Prec!$AM:$AM,BV_Data_An_Prec!$AQ:$AQ,$V540)</f>
        <v>0</v>
      </c>
      <c r="AM540" s="403"/>
      <c r="AN540" s="401">
        <f t="shared" si="86"/>
        <v>131150.44</v>
      </c>
      <c r="AO540" s="408">
        <f t="shared" si="87"/>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f>SUMIFS(BV_Data_An_Cour!$AM:$AM,BV_Data_An_Cour!$AQ:$AQ,$V541)</f>
        <v>12238</v>
      </c>
      <c r="AG541" s="400"/>
      <c r="AH541" s="401">
        <f t="shared" si="94"/>
        <v>12238</v>
      </c>
      <c r="AI541" s="402">
        <f t="shared" si="95"/>
        <v>0</v>
      </c>
      <c r="AJ541" s="407"/>
      <c r="AK541" s="406"/>
      <c r="AL541" s="399">
        <f>SUMIFS(BV_Data_An_Prec!$AM:$AM,BV_Data_An_Prec!$AQ:$AQ,$V541)</f>
        <v>0</v>
      </c>
      <c r="AM541" s="403"/>
      <c r="AN541" s="401">
        <f t="shared" si="86"/>
        <v>12238</v>
      </c>
      <c r="AO541" s="408">
        <f t="shared" si="87"/>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f>SUMIFS(BV_Data_An_Cour!$AM:$AM,BV_Data_An_Cour!$AQ:$AQ,$V542)</f>
        <v>10000.000000000007</v>
      </c>
      <c r="AG542" s="384"/>
      <c r="AH542" s="385">
        <f t="shared" si="94"/>
        <v>10000.000000000007</v>
      </c>
      <c r="AI542" s="412">
        <f t="shared" si="95"/>
        <v>0</v>
      </c>
      <c r="AJ542" s="411"/>
      <c r="AK542" s="410"/>
      <c r="AL542" s="383">
        <f>SUMIFS(BV_Data_An_Prec!$AM:$AM,BV_Data_An_Prec!$AQ:$AQ,$V542)</f>
        <v>0</v>
      </c>
      <c r="AM542" s="387"/>
      <c r="AN542" s="385">
        <f t="shared" si="86"/>
        <v>10000.000000000007</v>
      </c>
      <c r="AO542" s="388">
        <f t="shared" si="87"/>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f>SUMIF(BV_Data_An_Cour!$AQ:$AQ,Print_Mois!$V544,BV_Data_An_Cour!$AM:$AM)</f>
        <v>13073.610000000006</v>
      </c>
      <c r="AG544" s="384"/>
      <c r="AH544" s="385">
        <f t="shared" si="94"/>
        <v>13073.610000000006</v>
      </c>
      <c r="AI544" s="412">
        <f t="shared" si="95"/>
        <v>0</v>
      </c>
      <c r="AJ544" s="411"/>
      <c r="AK544" s="410"/>
      <c r="AL544" s="383">
        <f>SUMIFS(BV_Data_An_Prec!$AM:$AM,BV_Data_An_Prec!$AQ:$AQ,$V544)</f>
        <v>0</v>
      </c>
      <c r="AM544" s="387"/>
      <c r="AN544" s="385">
        <f t="shared" si="86"/>
        <v>13073.610000000006</v>
      </c>
      <c r="AO544" s="388">
        <f t="shared" si="87"/>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f>SUMIFS(BV_Data_An_Cour!$AM:$AM,BV_Data_An_Cour!$AQ:$AQ,$V545)</f>
        <v>10616.780000000002</v>
      </c>
      <c r="AG545" s="400"/>
      <c r="AH545" s="401">
        <f t="shared" si="94"/>
        <v>10616.780000000002</v>
      </c>
      <c r="AI545" s="402">
        <f t="shared" si="95"/>
        <v>0</v>
      </c>
      <c r="AJ545" s="407"/>
      <c r="AK545" s="406"/>
      <c r="AL545" s="399">
        <f>SUMIFS(BV_Data_An_Prec!$AM:$AM,BV_Data_An_Prec!$AQ:$AQ,$V545)</f>
        <v>0</v>
      </c>
      <c r="AM545" s="403"/>
      <c r="AN545" s="401">
        <f t="shared" si="86"/>
        <v>10616.780000000002</v>
      </c>
      <c r="AO545" s="408">
        <f t="shared" si="87"/>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f>SUMIFS(BV_Data_An_Cour!$AM:$AM,BV_Data_An_Cour!$AQ:$AQ,$V546)</f>
        <v>10604.000000000004</v>
      </c>
      <c r="AG546" s="400"/>
      <c r="AH546" s="401">
        <f t="shared" si="94"/>
        <v>10604.000000000004</v>
      </c>
      <c r="AI546" s="402">
        <f t="shared" si="95"/>
        <v>0</v>
      </c>
      <c r="AJ546" s="407"/>
      <c r="AK546" s="406"/>
      <c r="AL546" s="399">
        <f>SUMIFS(BV_Data_An_Prec!$AM:$AM,BV_Data_An_Prec!$AQ:$AQ,$V546)</f>
        <v>0</v>
      </c>
      <c r="AM546" s="403"/>
      <c r="AN546" s="401">
        <f t="shared" si="86"/>
        <v>10604.000000000004</v>
      </c>
      <c r="AO546" s="408">
        <f t="shared" si="87"/>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f>SUMIFS(BV_Data_An_Cour!$AM:$AM,BV_Data_An_Cour!$AQ:$AQ,$V547)</f>
        <v>14105.599999999995</v>
      </c>
      <c r="AG547" s="384"/>
      <c r="AH547" s="385">
        <f t="shared" si="94"/>
        <v>14105.599999999995</v>
      </c>
      <c r="AI547" s="412">
        <f t="shared" si="95"/>
        <v>0</v>
      </c>
      <c r="AJ547" s="411"/>
      <c r="AK547" s="410"/>
      <c r="AL547" s="383">
        <f>SUMIFS(BV_Data_An_Prec!$AM:$AM,BV_Data_An_Prec!$AQ:$AQ,$V547)</f>
        <v>0</v>
      </c>
      <c r="AM547" s="387"/>
      <c r="AN547" s="385">
        <f t="shared" si="86"/>
        <v>14105.599999999995</v>
      </c>
      <c r="AO547" s="388">
        <f t="shared" si="87"/>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f>SUMIFS(BV_Data_An_Cour!$AM:$AM,BV_Data_An_Cour!$AQ:$AQ,$V548)</f>
        <v>711.94999999999959</v>
      </c>
      <c r="AG548" s="400"/>
      <c r="AH548" s="401">
        <f t="shared" si="94"/>
        <v>711.94999999999959</v>
      </c>
      <c r="AI548" s="439">
        <f t="shared" si="95"/>
        <v>0</v>
      </c>
      <c r="AJ548" s="407"/>
      <c r="AK548" s="406"/>
      <c r="AL548" s="399">
        <f>SUMIFS(BV_Data_An_Prec!$AM:$AM,BV_Data_An_Prec!$AQ:$AQ,$V548)</f>
        <v>0</v>
      </c>
      <c r="AM548" s="403"/>
      <c r="AN548" s="401">
        <f t="shared" si="86"/>
        <v>711.94999999999959</v>
      </c>
      <c r="AO548" s="408">
        <f t="shared" si="87"/>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0.22201638874762225</v>
      </c>
      <c r="AE553" s="414"/>
      <c r="AF553" s="416">
        <f>SUM(AF540:AF552)</f>
        <v>202500.38000000003</v>
      </c>
      <c r="AG553" s="422"/>
      <c r="AH553" s="435">
        <f>SUM(AH540:AH552)</f>
        <v>202500.38000000003</v>
      </c>
      <c r="AI553" s="415">
        <f>IF(Z553=0,0,AH553/Z553)</f>
        <v>0</v>
      </c>
      <c r="AJ553" s="417" t="e">
        <f>AL553/AL494</f>
        <v>#DIV/0!</v>
      </c>
      <c r="AK553" s="414"/>
      <c r="AL553" s="416">
        <f>SUM(AL540:AL552)</f>
        <v>0</v>
      </c>
      <c r="AM553" s="423"/>
      <c r="AN553" s="419">
        <f t="shared" si="86"/>
        <v>202500.38000000003</v>
      </c>
      <c r="AO553" s="436">
        <f t="shared" si="87"/>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0.34406539904208155</v>
      </c>
      <c r="AE555" s="414"/>
      <c r="AF555" s="416">
        <f>AF506+AF520+AF539+AF553</f>
        <v>313820.8600000001</v>
      </c>
      <c r="AG555" s="422"/>
      <c r="AH555" s="435">
        <f t="shared" si="96"/>
        <v>313820.8600000001</v>
      </c>
      <c r="AI555" s="415" t="e">
        <f>AH555/Z555</f>
        <v>#DIV/0!</v>
      </c>
      <c r="AJ555" s="417" t="e">
        <f>AL555/AL494</f>
        <v>#DIV/0!</v>
      </c>
      <c r="AK555" s="414"/>
      <c r="AL555" s="416">
        <f>AL506+AL520+AL539+AL553</f>
        <v>0</v>
      </c>
      <c r="AM555" s="423"/>
      <c r="AN555" s="419">
        <f t="shared" ref="AN555:AN568" si="97">AF555-AL555</f>
        <v>313820.8600000001</v>
      </c>
      <c r="AO555" s="396">
        <f t="shared" ref="AO555:AO568" si="98">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f>-SUMIFS(BV_Data_An_Cour!$AM:$AM,BV_Data_An_Cour!$AQ:$AQ,$V556)</f>
        <v>24410.139999999985</v>
      </c>
      <c r="AG556" s="446"/>
      <c r="AH556" s="401">
        <f t="shared" si="96"/>
        <v>24410.139999999985</v>
      </c>
      <c r="AI556" s="439" t="e">
        <f>IF(AH556=0,0,AH556/Z556)</f>
        <v>#DIV/0!</v>
      </c>
      <c r="AJ556" s="445"/>
      <c r="AK556" s="444"/>
      <c r="AL556" s="426">
        <f>-SUMIFS(BV_Data_An_Prec!$AM:$AM,BV_Data_An_Prec!$AQ:$AQ,$V556)</f>
        <v>0</v>
      </c>
      <c r="AM556" s="447"/>
      <c r="AN556" s="401">
        <f t="shared" si="97"/>
        <v>24410.139999999985</v>
      </c>
      <c r="AO556" s="408">
        <f t="shared" si="98"/>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99"/>
        <v>0</v>
      </c>
      <c r="AA558" s="437"/>
      <c r="AB558" s="438"/>
      <c r="AC558" s="399"/>
      <c r="AD558" s="451"/>
      <c r="AF558" s="399">
        <f t="shared" si="100"/>
        <v>54404.950000000041</v>
      </c>
      <c r="AG558" s="450"/>
      <c r="AH558" s="401">
        <f t="shared" si="96"/>
        <v>54404.950000000041</v>
      </c>
      <c r="AI558" s="420" t="e">
        <f t="shared" ref="AI558:AI567" si="101">IF(AH558=0,0,AH558/Z558)</f>
        <v>#DIV/0!</v>
      </c>
      <c r="AJ558" s="451"/>
      <c r="AL558" s="399">
        <f>-SUMIFS(BV_Data_An_Prec!$AM:$AM,BV_Data_An_Prec!$AQ:$AQ,$V558)</f>
        <v>0</v>
      </c>
      <c r="AM558" s="448"/>
      <c r="AN558" s="401">
        <f t="shared" si="97"/>
        <v>54404.950000000041</v>
      </c>
      <c r="AO558" s="408">
        <f t="shared" si="98"/>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f>AF567/499</f>
        <v>0</v>
      </c>
      <c r="AE567" s="437">
        <f>(AF567/399)/(J13+J15+J97)</f>
        <v>0</v>
      </c>
      <c r="AF567" s="399">
        <f>+SUMIF($C:$C,$V567,L:L)</f>
        <v>0</v>
      </c>
      <c r="AG567" s="450"/>
      <c r="AH567" s="401">
        <f t="shared" si="96"/>
        <v>0</v>
      </c>
      <c r="AI567" s="420">
        <f t="shared" si="101"/>
        <v>0</v>
      </c>
      <c r="AJ567" s="452">
        <f>AL567/499</f>
        <v>0</v>
      </c>
      <c r="AK567" s="437" t="e">
        <f>(AL567/399)/(P13+P15+P97)</f>
        <v>#DIV/0!</v>
      </c>
      <c r="AL567" s="399">
        <f>-SUMIFS(BV_Data_An_Prec!$AM:$AM,BV_Data_An_Prec!$AQ:$AQ,$V567)</f>
        <v>0</v>
      </c>
      <c r="AM567" s="448"/>
      <c r="AN567" s="401">
        <f t="shared" si="97"/>
        <v>0</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8.6410907775179666E-2</v>
      </c>
      <c r="AE568" s="434"/>
      <c r="AF568" s="416">
        <f>SUM(AF556:AF567)</f>
        <v>78815.090000000026</v>
      </c>
      <c r="AG568" s="422"/>
      <c r="AH568" s="419">
        <f t="shared" si="96"/>
        <v>78815.090000000026</v>
      </c>
      <c r="AI568" s="415" t="e">
        <f>AH568/Z568</f>
        <v>#DIV/0!</v>
      </c>
      <c r="AJ568" s="415" t="e">
        <f>AL568/+AL494</f>
        <v>#DIV/0!</v>
      </c>
      <c r="AK568" s="434"/>
      <c r="AL568" s="416">
        <f>SUM(AL556:AL567)</f>
        <v>0</v>
      </c>
      <c r="AM568" s="453"/>
      <c r="AN568" s="419">
        <f t="shared" si="97"/>
        <v>78815.090000000026</v>
      </c>
      <c r="AO568" s="436">
        <f t="shared" si="98"/>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3.2667553660172148E-2</v>
      </c>
      <c r="AF570" s="468">
        <f>AF494-AF555+AF568</f>
        <v>677090.76999999466</v>
      </c>
      <c r="AG570" s="470"/>
      <c r="AH570" s="470" t="e">
        <f>AF570-Z570</f>
        <v>#REF!</v>
      </c>
      <c r="AI570" s="471" t="e">
        <f>AH570/Z570</f>
        <v>#REF!</v>
      </c>
      <c r="AJ570" s="466" t="s">
        <v>215</v>
      </c>
      <c r="AK570" s="467" t="e">
        <f>AL570/AL493</f>
        <v>#DIV/0!</v>
      </c>
      <c r="AL570" s="468">
        <f>AL494-AL555+AL568</f>
        <v>0</v>
      </c>
      <c r="AM570" s="472"/>
      <c r="AN570" s="469">
        <f>AF570-AL570</f>
        <v>677090.76999999466</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Octobre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3.5505446999718047E-2</v>
      </c>
      <c r="AF575" s="752">
        <f>AF576+AF502</f>
        <v>735910.94999999471</v>
      </c>
      <c r="AG575" s="470"/>
      <c r="AH575" s="470" t="e">
        <f t="shared" ref="AH575" si="102">AF575-Z575</f>
        <v>#REF!</v>
      </c>
      <c r="AI575" s="471" t="e">
        <f>AH575/Z575</f>
        <v>#REF!</v>
      </c>
      <c r="AJ575" s="750" t="s">
        <v>215</v>
      </c>
      <c r="AK575" s="751">
        <f>IF($AL$493=0,0,AL575/$AL$493)</f>
        <v>0</v>
      </c>
      <c r="AL575" s="752">
        <f>AL576+AL502</f>
        <v>0</v>
      </c>
      <c r="AM575" s="472"/>
      <c r="AN575" s="752">
        <f t="shared" ref="AN575:AN585" si="103">AF575-AL575</f>
        <v>735910.94999999471</v>
      </c>
      <c r="AO575" s="753">
        <f t="shared" ref="AO575:AO585" si="104">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3.2667553660172148E-2</v>
      </c>
      <c r="AF576" s="468">
        <f>AF570</f>
        <v>677090.76999999466</v>
      </c>
      <c r="AG576" s="469"/>
      <c r="AH576" s="470" t="e">
        <f>AF576-Z576</f>
        <v>#REF!</v>
      </c>
      <c r="AI576" s="471" t="e">
        <f>AH576/Z576</f>
        <v>#REF!</v>
      </c>
      <c r="AJ576" s="466" t="s">
        <v>215</v>
      </c>
      <c r="AK576" s="467">
        <f>IF($AL$493=0,0,AL576/$AL$493)</f>
        <v>0</v>
      </c>
      <c r="AL576" s="468">
        <f>AL570</f>
        <v>0</v>
      </c>
      <c r="AM576" s="474"/>
      <c r="AN576" s="475">
        <f t="shared" si="103"/>
        <v>677090.76999999466</v>
      </c>
      <c r="AO576" s="476">
        <f t="shared" si="104"/>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f>SUMIFS(BV_Data_An_Cour!$AM:$AM,BV_Data_An_Cour!$AQ:$AQ,$V578)</f>
        <v>10807.42</v>
      </c>
      <c r="AG578" s="398"/>
      <c r="AH578" s="401">
        <f t="shared" ref="AH578:AH585" si="105">AF578-Z578</f>
        <v>10807.42</v>
      </c>
      <c r="AI578" s="420">
        <f t="shared" ref="AI578:AI584" si="106">IF(Z578=0,0,AH578/Z578)</f>
        <v>0</v>
      </c>
      <c r="AJ578" s="398"/>
      <c r="AK578" s="406"/>
      <c r="AL578" s="399">
        <f>SUMIFS(BV_Data_An_Prec!$AM:$AM,BV_Data_An_Prec!$AQ:$AQ,$V578)</f>
        <v>0</v>
      </c>
      <c r="AM578" s="403"/>
      <c r="AN578" s="401">
        <f t="shared" si="103"/>
        <v>10807.42</v>
      </c>
      <c r="AO578" s="408">
        <f t="shared" si="104"/>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f>SUMIFS(BV_Data_An_Cour!$AM:$AM,BV_Data_An_Cour!$AQ:$AQ,$V580)</f>
        <v>0</v>
      </c>
      <c r="AG580" s="35"/>
      <c r="AH580" s="401">
        <f t="shared" si="105"/>
        <v>0</v>
      </c>
      <c r="AI580" s="420">
        <f t="shared" si="106"/>
        <v>0</v>
      </c>
      <c r="AJ580" s="35"/>
      <c r="AK580" s="38"/>
      <c r="AL580" s="399">
        <f>SUMIFS(BV_Data_An_Prec!$AM:$AM,BV_Data_An_Prec!$AQ:$AQ,$V580)</f>
        <v>0</v>
      </c>
      <c r="AM580" s="480"/>
      <c r="AN580" s="401">
        <f t="shared" si="103"/>
        <v>0</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f>SUMIFS(BV_Data_An_Cour!$AM:$AM,BV_Data_An_Cour!$AQ:$AQ,$V583)</f>
        <v>0</v>
      </c>
      <c r="AG583" s="400"/>
      <c r="AH583" s="401">
        <f t="shared" si="105"/>
        <v>0</v>
      </c>
      <c r="AI583" s="402">
        <f t="shared" si="106"/>
        <v>0</v>
      </c>
      <c r="AJ583" s="407"/>
      <c r="AK583" s="406"/>
      <c r="AL583" s="399">
        <f>SUMIFS(BV_Data_An_Prec!$AM:$AM,BV_Data_An_Prec!$AQ:$AQ,$V583)</f>
        <v>0</v>
      </c>
      <c r="AM583" s="480"/>
      <c r="AN583" s="401">
        <f t="shared" si="103"/>
        <v>0</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3.2146128781233067E-2</v>
      </c>
      <c r="AF585" s="468">
        <f>AF576-AF578-AF579-AF580-AF584-AF583</f>
        <v>666283.34999999462</v>
      </c>
      <c r="AG585" s="470"/>
      <c r="AH585" s="470" t="e">
        <f t="shared" si="105"/>
        <v>#REF!</v>
      </c>
      <c r="AI585" s="471" t="e">
        <f>AH585/Z585</f>
        <v>#REF!</v>
      </c>
      <c r="AJ585" s="466" t="s">
        <v>215</v>
      </c>
      <c r="AK585" s="467">
        <f>IF($AL$493=0,0,AL585/$AL$493)</f>
        <v>0</v>
      </c>
      <c r="AL585" s="468">
        <f>AL576-AL578-AL579-AL580-AL584-AL583</f>
        <v>0</v>
      </c>
      <c r="AM585" s="472"/>
      <c r="AN585" s="469">
        <f t="shared" si="103"/>
        <v>666283.34999999462</v>
      </c>
      <c r="AO585" s="482">
        <f t="shared" si="104"/>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666286</v>
      </c>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f>AF587-AF585</f>
        <v>2.6500000053783879</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opLeftCell="AF556" zoomScale="80" zoomScaleNormal="80" workbookViewId="0">
      <selection activeCell="AF590" sqref="AF590"/>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Octobre 2025</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4" t="s">
        <v>339</v>
      </c>
      <c r="E3" s="1065"/>
      <c r="F3" s="1066"/>
      <c r="G3" s="1069"/>
      <c r="H3" s="1065"/>
      <c r="I3" s="1066"/>
      <c r="J3" s="1069" t="s">
        <v>340</v>
      </c>
      <c r="K3" s="1065"/>
      <c r="L3" s="1066"/>
      <c r="M3" s="1069" t="s">
        <v>668</v>
      </c>
      <c r="N3" s="1066"/>
      <c r="O3" s="1064" t="s">
        <v>341</v>
      </c>
      <c r="P3" s="1065"/>
      <c r="Q3" s="1066"/>
      <c r="R3" s="1067" t="s">
        <v>670</v>
      </c>
      <c r="S3" s="1068"/>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127070525.62</v>
      </c>
      <c r="M5" s="242"/>
      <c r="N5" s="952"/>
      <c r="O5" s="238"/>
      <c r="P5" s="951"/>
      <c r="Q5" s="286">
        <f>-SUMIFS(BV_Data_An_Prec!$AN:$AN,BV_Data_An_Prec!$AS:$AS,"Oui",BV_Data_An_Prec!$AP:$AP,$B5)</f>
        <v>0</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9</v>
      </c>
      <c r="K6" s="281">
        <f t="shared" ref="K6:K12" si="3">IF(J6=0,0,L6/J6)</f>
        <v>6187.9377777777718</v>
      </c>
      <c r="L6" s="266">
        <f>-SUMIFS(BV_Data_An_Cour!$AN:$AN,BV_Data_An_Cour!$AP:$AP,$B6,BV_Data_An_Cour!$AQ:$AQ,$C6,BV_Data_An_Cour!$AR:$AR,L$2)</f>
        <v>55691.439999999944</v>
      </c>
      <c r="M6" s="245">
        <f t="shared" ref="M6:M12" si="4">J6-D6</f>
        <v>9</v>
      </c>
      <c r="N6" s="246">
        <f t="shared" ref="N6:N12" si="5">L6-F6</f>
        <v>55691.439999999944</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9</v>
      </c>
      <c r="S6" s="266">
        <f t="shared" ref="S6:S12" si="8">L6-Q6</f>
        <v>55691.439999999944</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477</v>
      </c>
      <c r="K7" s="281">
        <f t="shared" si="3"/>
        <v>3034.8107547169898</v>
      </c>
      <c r="L7" s="266">
        <f>-SUMIFS(BV_Data_An_Cour!$AN:$AN,BV_Data_An_Cour!$AP:$AP,$B7,BV_Data_An_Cour!$AQ:$AQ,$C7,BV_Data_An_Cour!$AR:$AR,L$2)</f>
        <v>1447604.7300000042</v>
      </c>
      <c r="M7" s="245">
        <f t="shared" si="4"/>
        <v>477</v>
      </c>
      <c r="N7" s="246">
        <f t="shared" si="5"/>
        <v>1447604.7300000042</v>
      </c>
      <c r="O7" s="245">
        <f>SUMIFS(BV_Data_An_Prec!$AX:$AX,BV_Data_An_Prec!$AP:$AP,$B7,BV_Data_An_Prec!$AQ:$AQ,$C7,BV_Data_An_Prec!$AY:$AY,O$2)</f>
        <v>0</v>
      </c>
      <c r="P7" s="281">
        <f t="shared" si="6"/>
        <v>0</v>
      </c>
      <c r="Q7" s="266">
        <f>-SUMIFS(BV_Data_An_Prec!$AN:$AN,BV_Data_An_Prec!$AP:$AP,$B7,BV_Data_An_Prec!$AQ:$AQ,$C7,BV_Data_An_Prec!$AR:$AR,Q$2)</f>
        <v>0</v>
      </c>
      <c r="R7" s="245">
        <f t="shared" si="7"/>
        <v>477</v>
      </c>
      <c r="S7" s="266">
        <f t="shared" si="8"/>
        <v>1447604.7300000042</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3128</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166</v>
      </c>
      <c r="K9" s="281">
        <f t="shared" si="3"/>
        <v>1251.5084939759038</v>
      </c>
      <c r="L9" s="266">
        <f>-SUMIFS(BV_Data_An_Cour!$AN:$AN,BV_Data_An_Cour!$AP:$AP,$B9,BV_Data_An_Cour!$AQ:$AQ,$C9,BV_Data_An_Cour!$AR:$AR,L$2)</f>
        <v>207750.41000000003</v>
      </c>
      <c r="M9" s="245">
        <f t="shared" si="4"/>
        <v>166</v>
      </c>
      <c r="N9" s="246">
        <f t="shared" si="5"/>
        <v>207750.41000000003</v>
      </c>
      <c r="O9" s="245">
        <f>SUMIFS(BV_Data_An_Prec!$AX:$AX,BV_Data_An_Prec!$AP:$AP,$B9,BV_Data_An_Prec!$AQ:$AQ,$C9,BV_Data_An_Prec!$AY:$AY,O$2)</f>
        <v>0</v>
      </c>
      <c r="P9" s="281">
        <f t="shared" si="6"/>
        <v>0</v>
      </c>
      <c r="Q9" s="266">
        <f>-SUMIFS(BV_Data_An_Prec!$AN:$AN,BV_Data_An_Prec!$AP:$AP,$B9,BV_Data_An_Prec!$AQ:$AQ,$C9,BV_Data_An_Prec!$AR:$AR,Q$2)</f>
        <v>0</v>
      </c>
      <c r="R9" s="245">
        <f t="shared" si="7"/>
        <v>166</v>
      </c>
      <c r="S9" s="266">
        <f t="shared" si="8"/>
        <v>207750.41000000003</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652</v>
      </c>
      <c r="K13" s="355">
        <f>IF(J13&lt;=0,0,L13/J13)</f>
        <v>2624.3045705521536</v>
      </c>
      <c r="L13" s="356">
        <f>+SUM(L6:L12)</f>
        <v>1711046.5800000043</v>
      </c>
      <c r="M13" s="252">
        <f>+SUM(M6:M12)</f>
        <v>652</v>
      </c>
      <c r="N13" s="251">
        <f t="shared" ref="N13" si="10">+SUM(N6:N12)</f>
        <v>1711046.5800000043</v>
      </c>
      <c r="O13" s="252">
        <f>+SUM(O6:O12)</f>
        <v>0</v>
      </c>
      <c r="P13" s="355">
        <f>IF(O13&lt;=0,0,Q13/O13)</f>
        <v>0</v>
      </c>
      <c r="Q13" s="356">
        <f>+SUM(Q6:Q12)</f>
        <v>0</v>
      </c>
      <c r="R13" s="252">
        <f t="shared" ref="R13" si="11">+SUM(R6:R12)</f>
        <v>652</v>
      </c>
      <c r="S13" s="356">
        <f>+SUM(S6:S12)</f>
        <v>1711046.5800000043</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t="e">
        <f>R13/O13</f>
        <v>#DIV/0!</v>
      </c>
      <c r="S14" s="255">
        <f>IF(Q13=0,0,(S13/Q13))</f>
        <v>0</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1402</v>
      </c>
      <c r="K17" s="281">
        <f>IF(J17=0,0,L17/J17)</f>
        <v>627.7053067047101</v>
      </c>
      <c r="L17" s="266">
        <f>-SUMIFS(BV_Data_An_Cour!$AN:$AN,BV_Data_An_Cour!$AP:$AP,$B17,BV_Data_An_Cour!$AQ:$AQ,$C17,BV_Data_An_Cour!$AR:$AR,L$2)</f>
        <v>880042.84000000358</v>
      </c>
      <c r="M17" s="257">
        <f>J17-D17</f>
        <v>1402</v>
      </c>
      <c r="N17" s="246">
        <f>L17-F17</f>
        <v>880042.84000000358</v>
      </c>
      <c r="O17" s="257">
        <f>SUMIFS(BV_Data_An_Prec!$AX:$AX,BV_Data_An_Prec!$AP:$AP,$B17,BV_Data_An_Prec!$AQ:$AQ,$C17,BV_Data_An_Prec!$AY:$AY,O$2)</f>
        <v>0</v>
      </c>
      <c r="P17" s="281">
        <f>IF(O17=0,0,Q17/O17)</f>
        <v>0</v>
      </c>
      <c r="Q17" s="266">
        <f>-SUMIFS(BV_Data_An_Prec!$AN:$AN,BV_Data_An_Prec!$AP:$AP,$B17,BV_Data_An_Prec!$AQ:$AQ,$C17,BV_Data_An_Prec!$AR:$AR,Q$2)</f>
        <v>0</v>
      </c>
      <c r="R17" s="245">
        <f>J17-O17</f>
        <v>1402</v>
      </c>
      <c r="S17" s="266">
        <f>L17-Q17</f>
        <v>880042.84000000358</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9.8380828220858891</v>
      </c>
      <c r="L21" s="266">
        <f>-SUMIFS(BV_Data_An_Cour!$AN:$AN,BV_Data_An_Cour!$AP:$AP,$B21,BV_Data_An_Cour!$AQ:$AQ,$C21,BV_Data_An_Cour!$AR:$AR,L$2)</f>
        <v>6414.43</v>
      </c>
      <c r="M21" s="245"/>
      <c r="N21" s="246">
        <f>L21-F21</f>
        <v>6414.43</v>
      </c>
      <c r="O21" s="245"/>
      <c r="P21" s="281">
        <f>IF(O13=0,0,Q21/(O13+O15))</f>
        <v>0</v>
      </c>
      <c r="Q21" s="266">
        <f>-SUMIFS(BV_Data_An_Prec!$AN:$AN,BV_Data_An_Prec!$AP:$AP,$B21,BV_Data_An_Prec!$AQ:$AQ,$C21,BV_Data_An_Prec!$AR:$AR,Q$2)</f>
        <v>0</v>
      </c>
      <c r="R21" s="267">
        <f>P21-K21</f>
        <v>-9.8380828220858891</v>
      </c>
      <c r="S21" s="266">
        <f t="shared" ref="S21:S23" si="12">L21-Q21</f>
        <v>6414.43</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693.36294478527623</v>
      </c>
      <c r="L22" s="266">
        <f>-SUMIFS(BV_Data_An_Cour!$AN:$AN,BV_Data_An_Cour!$AP:$AP,$B22,BV_Data_An_Cour!$AQ:$AQ,$C22,BV_Data_An_Cour!$AR:$AR,L$2)</f>
        <v>452072.64000000007</v>
      </c>
      <c r="M22" s="245"/>
      <c r="N22" s="246">
        <f>L22-F22</f>
        <v>452072.64000000007</v>
      </c>
      <c r="O22" s="245"/>
      <c r="P22" s="281">
        <f>IF(O13=0,0,Q22/(O13+O15))</f>
        <v>0</v>
      </c>
      <c r="Q22" s="266">
        <f>-SUMIFS(BV_Data_An_Prec!$AN:$AN,BV_Data_An_Prec!$AP:$AP,$B22,BV_Data_An_Prec!$AQ:$AQ,$C22,BV_Data_An_Prec!$AR:$AR,Q$2)</f>
        <v>0</v>
      </c>
      <c r="R22" s="267">
        <f t="shared" ref="R22:R23" si="13">P22-K22</f>
        <v>-693.36294478527623</v>
      </c>
      <c r="S22" s="266">
        <f t="shared" si="12"/>
        <v>452072.64000000007</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66.129846625766859</v>
      </c>
      <c r="L23" s="266">
        <f>-SUMIFS(BV_Data_An_Cour!$AN:$AN,BV_Data_An_Cour!$AP:$AP,$B23,BV_Data_An_Cour!$AQ:$AQ,$C23,BV_Data_An_Cour!$AR:$AR,L$2)</f>
        <v>43116.659999999996</v>
      </c>
      <c r="M23" s="257"/>
      <c r="N23" s="246">
        <f>L23-F23</f>
        <v>43116.659999999996</v>
      </c>
      <c r="O23" s="245"/>
      <c r="P23" s="281">
        <f>IF(O13=0,0,Q23/(O13+O15))</f>
        <v>0</v>
      </c>
      <c r="Q23" s="266">
        <f>-SUMIFS(BV_Data_An_Prec!$AN:$AN,BV_Data_An_Prec!$AP:$AP,$B23,BV_Data_An_Prec!$AQ:$AQ,$C23,BV_Data_An_Prec!$AR:$AR,Q$2)</f>
        <v>0</v>
      </c>
      <c r="R23" s="267">
        <f t="shared" si="13"/>
        <v>-66.129846625766859</v>
      </c>
      <c r="S23" s="266">
        <f t="shared" si="12"/>
        <v>43116.659999999996</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652</v>
      </c>
      <c r="K24" s="355">
        <f>IF(J24&lt;=0,0,L24/J24)</f>
        <v>769.33087423312884</v>
      </c>
      <c r="L24" s="356">
        <f>L21+L22+L23</f>
        <v>501603.73000000004</v>
      </c>
      <c r="M24" s="265">
        <f>J24-D24</f>
        <v>652</v>
      </c>
      <c r="N24" s="251">
        <f>L24-F24</f>
        <v>501603.73000000004</v>
      </c>
      <c r="O24" s="252">
        <f>+O15+O13</f>
        <v>0</v>
      </c>
      <c r="P24" s="355">
        <f>IF(O24&lt;=0,0,Q24/O24)</f>
        <v>0</v>
      </c>
      <c r="Q24" s="356">
        <f>Q21+Q22+Q23</f>
        <v>0</v>
      </c>
      <c r="R24" s="337">
        <f>P24-K24</f>
        <v>-769.33087423312884</v>
      </c>
      <c r="S24" s="356">
        <f>L24-Q24</f>
        <v>501603.73000000004</v>
      </c>
      <c r="T24" s="38"/>
      <c r="U24" s="244"/>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2054</v>
      </c>
      <c r="K27" s="269">
        <f>IF(J27&lt;=0,0,L27/J27)</f>
        <v>1505.6928675754664</v>
      </c>
      <c r="L27" s="271">
        <f>L13+L17+L24+L19+L15</f>
        <v>3092693.1500000078</v>
      </c>
      <c r="M27" s="272">
        <f>J27-D27</f>
        <v>2054</v>
      </c>
      <c r="N27" s="271">
        <f>L27-F27</f>
        <v>3092693.1500000078</v>
      </c>
      <c r="O27" s="272">
        <f>+O13+O15+O17</f>
        <v>0</v>
      </c>
      <c r="P27" s="269">
        <f>IF(O27&lt;=0,0,Q27/O27)</f>
        <v>0</v>
      </c>
      <c r="Q27" s="271">
        <f>Q13+Q17+Q24+Q19+Q15</f>
        <v>0</v>
      </c>
      <c r="R27" s="272">
        <f>J27-O27</f>
        <v>2054</v>
      </c>
      <c r="S27" s="271">
        <f>L27-Q27</f>
        <v>3092693.1500000078</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0</v>
      </c>
      <c r="R28" s="276" t="e">
        <f>R27/O27</f>
        <v>#DIV/0!</v>
      </c>
      <c r="S28" s="326">
        <f>IF(Q27=0,0,S27/Q27)</f>
        <v>0</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0.22043441094364019</v>
      </c>
      <c r="K31" s="281">
        <f>IF(L31=0,0,L31/J$24)</f>
        <v>876.02035276073627</v>
      </c>
      <c r="L31" s="266">
        <f>SUMIFS(BV_Data_An_Cour!$AN:$AN,BV_Data_An_Cour!$AP:$AP,$B31,BV_Data_An_Cour!$AQ:$AQ,$C31,BV_Data_An_Cour!$AR:$AR,L$2)</f>
        <v>571165.27</v>
      </c>
      <c r="M31" s="243"/>
      <c r="N31" s="266">
        <f t="shared" ref="N31:N53" si="15">L31-F31</f>
        <v>571165.27</v>
      </c>
      <c r="O31" s="282" t="e">
        <f>Q31/(Q15+Q13+Q17)</f>
        <v>#DIV/0!</v>
      </c>
      <c r="P31" s="281">
        <f t="shared" ref="P31:P40" si="16">IF(Q31=0,0,Q31/O$24)</f>
        <v>0</v>
      </c>
      <c r="Q31" s="266">
        <f>SUMIFS(BV_Data_An_Prec!$AN:$AN,BV_Data_An_Prec!$AP:$AP,$B31,BV_Data_An_Prec!$AQ:$AQ,$C31,BV_Data_An_Prec!$AR:$AR,Q$2)</f>
        <v>0</v>
      </c>
      <c r="R31" s="243"/>
      <c r="S31" s="266">
        <f>L31-Q31</f>
        <v>571165.27</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0.2620217158273524</v>
      </c>
      <c r="K32" s="284">
        <f t="shared" ref="K32:K39" si="17">IF(L32=0,0,L32/J$24)</f>
        <v>201.58139570552149</v>
      </c>
      <c r="L32" s="266">
        <f>SUMIFS(BV_Data_An_Cour!$AN:$AN,BV_Data_An_Cour!$AP:$AP,$B32,BV_Data_An_Cour!$AQ:$AQ,$C32,BV_Data_An_Cour!$AR:$AR,L$2)</f>
        <v>131431.07</v>
      </c>
      <c r="M32" s="238"/>
      <c r="N32" s="286">
        <f t="shared" si="15"/>
        <v>131431.07</v>
      </c>
      <c r="O32" s="285" t="e">
        <f>Q32/Q24</f>
        <v>#DIV/0!</v>
      </c>
      <c r="P32" s="284">
        <f t="shared" si="16"/>
        <v>0</v>
      </c>
      <c r="Q32" s="286">
        <f>SUMIFS(BV_Data_An_Prec!$AN:$AN,BV_Data_An_Prec!$AP:$AP,$B32,BV_Data_An_Prec!$AQ:$AQ,$C32,BV_Data_An_Prec!$AR:$AR,Q$2)</f>
        <v>0</v>
      </c>
      <c r="R32" s="238"/>
      <c r="S32" s="286">
        <f t="shared" ref="S32:S39" si="18">L32-Q32</f>
        <v>131431.07</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-66.964723926380373</v>
      </c>
      <c r="L33" s="954">
        <f>SUMIFS(BV_Data_An_Cour!$AN:$AN,BV_Data_An_Cour!$AP:$AP,$B33,BV_Data_An_Cour!$AQ:$AQ,$C33,BV_Data_An_Cour!$AR:$AR,L$2)</f>
        <v>-43661</v>
      </c>
      <c r="M33" s="243"/>
      <c r="N33" s="266">
        <f t="shared" si="15"/>
        <v>-43661</v>
      </c>
      <c r="O33" s="243"/>
      <c r="P33" s="281">
        <f t="shared" si="16"/>
        <v>0</v>
      </c>
      <c r="Q33" s="266">
        <f>SUMIFS(BV_Data_An_Prec!$AN:$AN,BV_Data_An_Prec!$AP:$AP,$B33,BV_Data_An_Prec!$AQ:$AQ,$C33,BV_Data_An_Prec!$AR:$AR,Q$2)</f>
        <v>0</v>
      </c>
      <c r="R33" s="243"/>
      <c r="S33" s="266">
        <f t="shared" si="18"/>
        <v>-43661</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7.2010889570552141</v>
      </c>
      <c r="L34" s="266">
        <f>SUMIFS(BV_Data_An_Cour!$AN:$AN,BV_Data_An_Cour!$AP:$AP,$B34,BV_Data_An_Cour!$AQ:$AQ,$C34,BV_Data_An_Cour!$AR:$AR,L$2)</f>
        <v>4695.1099999999997</v>
      </c>
      <c r="M34" s="243"/>
      <c r="N34" s="266">
        <f t="shared" si="15"/>
        <v>4695.1099999999997</v>
      </c>
      <c r="O34" s="243"/>
      <c r="P34" s="281">
        <f t="shared" si="16"/>
        <v>0</v>
      </c>
      <c r="Q34" s="266">
        <f>SUMIFS(BV_Data_An_Prec!$AN:$AN,BV_Data_An_Prec!$AP:$AP,$B34,BV_Data_An_Prec!$AQ:$AQ,$C34,BV_Data_An_Prec!$AR:$AR,Q$2)</f>
        <v>0</v>
      </c>
      <c r="R34" s="243"/>
      <c r="S34" s="266">
        <f t="shared" si="18"/>
        <v>4695.1099999999997</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-346.90561349693257</v>
      </c>
      <c r="L36" s="954">
        <f>SUMIFS(BV_Data_An_Cour!$AN:$AN,BV_Data_An_Cour!$AP:$AP,$B36,BV_Data_An_Cour!$AQ:$AQ,$C36,BV_Data_An_Cour!$AR:$AR,L$2)</f>
        <v>-226182.46000000002</v>
      </c>
      <c r="M36" s="243"/>
      <c r="N36" s="266">
        <f t="shared" si="15"/>
        <v>-226182.46000000002</v>
      </c>
      <c r="O36" s="243"/>
      <c r="P36" s="281">
        <f t="shared" si="16"/>
        <v>0</v>
      </c>
      <c r="Q36" s="266">
        <f>SUMIFS(BV_Data_An_Prec!$AN:$AN,BV_Data_An_Prec!$AP:$AP,$B36,BV_Data_An_Prec!$AQ:$AQ,$C36,BV_Data_An_Prec!$AR:$AR,Q$2)</f>
        <v>0</v>
      </c>
      <c r="R36" s="243"/>
      <c r="S36" s="266">
        <f t="shared" si="18"/>
        <v>-226182.46000000002</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1306.4409509202453</v>
      </c>
      <c r="L37" s="266">
        <f>SUMIFS(BV_Data_An_Cour!$AN:$AN,BV_Data_An_Cour!$AP:$AP,$B37,BV_Data_An_Cour!$AQ:$AQ,$C37,BV_Data_An_Cour!$AR:$AR,L$2)</f>
        <v>851799.5</v>
      </c>
      <c r="M37" s="243"/>
      <c r="N37" s="658">
        <f t="shared" si="15"/>
        <v>851799.5</v>
      </c>
      <c r="O37" s="243"/>
      <c r="P37" s="281">
        <f t="shared" si="16"/>
        <v>0</v>
      </c>
      <c r="Q37" s="266">
        <f>SUMIFS(BV_Data_An_Prec!$AN:$AN,BV_Data_An_Prec!$AP:$AP,$B37,BV_Data_An_Prec!$AQ:$AQ,$C37,BV_Data_An_Prec!$AR:$AR,Q$2)</f>
        <v>0</v>
      </c>
      <c r="R37" s="243"/>
      <c r="S37" s="266">
        <f t="shared" si="18"/>
        <v>851799.5</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3129</v>
      </c>
      <c r="D38" s="287"/>
      <c r="E38" s="281" t="e">
        <f t="shared" si="14"/>
        <v>#DIV/0!</v>
      </c>
      <c r="F38" s="244" cm="1">
        <f t="array" ref="F38">+SUMPRODUCT(('Budget original'!$A$8:$A$501=$A38)*('Budget original'!$C$3:$AO$3=F$2),'Budget original'!$C$8:$AO$501)</f>
        <v>0</v>
      </c>
      <c r="G38" s="288"/>
      <c r="H38" s="281"/>
      <c r="I38" s="244"/>
      <c r="J38" s="243"/>
      <c r="K38" s="281">
        <f t="shared" si="17"/>
        <v>-3984.2788190184051</v>
      </c>
      <c r="L38" s="266">
        <f>SUMIFS(BV_Data_An_Cour!$AN:$AN,BV_Data_An_Cour!$AP:$AP,$B38,BV_Data_An_Cour!$AQ:$AQ,$C38,BV_Data_An_Cour!$AR:$AR,L$2)</f>
        <v>-2597749.79</v>
      </c>
      <c r="M38" s="38"/>
      <c r="N38" s="266">
        <f t="shared" si="15"/>
        <v>-2597749.79</v>
      </c>
      <c r="O38" s="243"/>
      <c r="P38" s="281">
        <f t="shared" si="16"/>
        <v>0</v>
      </c>
      <c r="Q38" s="266">
        <f>SUMIFS(BV_Data_An_Prec!$AN:$AN,BV_Data_An_Prec!$AP:$AP,$B38,BV_Data_An_Prec!$AQ:$AQ,$C38,BV_Data_An_Prec!$AR:$AR,Q$2)</f>
        <v>0</v>
      </c>
      <c r="R38" s="243"/>
      <c r="S38" s="266">
        <f t="shared" si="18"/>
        <v>-2597749.79</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3130</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-0.42309477097655057</v>
      </c>
      <c r="L41" s="294">
        <f>SUM(L31:L40)</f>
        <v>-1308502.3</v>
      </c>
      <c r="M41" s="296"/>
      <c r="N41" s="294">
        <f t="shared" si="15"/>
        <v>-1308502.3</v>
      </c>
      <c r="O41" s="295" t="s">
        <v>115</v>
      </c>
      <c r="P41" s="293" t="e">
        <f>Q41/Q$27</f>
        <v>#DIV/0!</v>
      </c>
      <c r="Q41" s="294">
        <f>SUM(Q31:Q40)</f>
        <v>0</v>
      </c>
      <c r="R41" s="297"/>
      <c r="S41" s="294">
        <f t="shared" si="20"/>
        <v>-1308502.3</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141987.87</v>
      </c>
      <c r="M42" s="243"/>
      <c r="N42" s="266">
        <f t="shared" si="15"/>
        <v>141987.87</v>
      </c>
      <c r="O42" s="243"/>
      <c r="P42" s="38"/>
      <c r="Q42" s="281">
        <f>SUMIFS(BV_Data_An_Prec!$AN:$AN,BV_Data_An_Prec!$AP:$AP,$B42,BV_Data_An_Prec!$AQ:$AQ,$C42,BV_Data_An_Prec!$AR:$AR,Q$2)</f>
        <v>0</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262756.90000000002</v>
      </c>
      <c r="M43" s="243"/>
      <c r="N43" s="266">
        <f t="shared" si="15"/>
        <v>262756.90000000002</v>
      </c>
      <c r="O43" s="243"/>
      <c r="P43" s="38"/>
      <c r="Q43" s="286">
        <f>SUMIFS(BV_Data_An_Prec!$AN:$AN,BV_Data_An_Prec!$AP:$AP,$B43,BV_Data_An_Prec!$AQ:$AQ,$C43,BV_Data_An_Prec!$AR:$AR,Q$2)</f>
        <v>0</v>
      </c>
      <c r="R43" s="243"/>
      <c r="S43" s="266">
        <f t="shared" ref="S43:S53" si="21">L43-Q43</f>
        <v>262756.90000000002</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35172.879999999997</v>
      </c>
      <c r="M44" s="233"/>
      <c r="N44" s="303">
        <f t="shared" si="15"/>
        <v>35172.879999999997</v>
      </c>
      <c r="O44" s="233"/>
      <c r="P44" s="301"/>
      <c r="Q44" s="281">
        <f>SUMIFS(BV_Data_An_Prec!$AN:$AN,BV_Data_An_Prec!$AP:$AP,$B44,BV_Data_An_Prec!$AQ:$AQ,$C44,BV_Data_An_Prec!$AR:$AR,Q$2)</f>
        <v>0</v>
      </c>
      <c r="R44" s="233"/>
      <c r="S44" s="303">
        <f t="shared" si="21"/>
        <v>35172.879999999997</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123744.27</v>
      </c>
      <c r="M49" s="243"/>
      <c r="N49" s="266">
        <f t="shared" si="15"/>
        <v>123744.27</v>
      </c>
      <c r="O49" s="243"/>
      <c r="P49" s="38"/>
      <c r="Q49" s="286">
        <f>SUMIFS(BV_Data_An_Prec!$AN:$AN,BV_Data_An_Prec!$AP:$AP,$B49,BV_Data_An_Prec!$AQ:$AQ,$C49,BV_Data_An_Prec!$AR:$AR,Q$2)</f>
        <v>0</v>
      </c>
      <c r="R49" s="243"/>
      <c r="S49" s="266">
        <f t="shared" si="21"/>
        <v>123744.27</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180235.32</v>
      </c>
      <c r="M50" s="233"/>
      <c r="N50" s="303">
        <f t="shared" si="15"/>
        <v>180235.32</v>
      </c>
      <c r="O50" s="233"/>
      <c r="P50" s="301"/>
      <c r="Q50" s="281">
        <f>SUMIFS(BV_Data_An_Prec!$AN:$AN,BV_Data_An_Prec!$AP:$AP,$B50,BV_Data_An_Prec!$AQ:$AQ,$C50,BV_Data_An_Prec!$AR:$AR,Q$2)</f>
        <v>0</v>
      </c>
      <c r="R50" s="233"/>
      <c r="S50" s="303">
        <f t="shared" si="21"/>
        <v>180235.32</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46352.32</v>
      </c>
      <c r="M51" s="243"/>
      <c r="N51" s="266">
        <f t="shared" si="15"/>
        <v>46352.32</v>
      </c>
      <c r="O51" s="243"/>
      <c r="P51" s="38"/>
      <c r="Q51" s="281">
        <f>SUMIFS(BV_Data_An_Prec!$AN:$AN,BV_Data_An_Prec!$AP:$AP,$B51,BV_Data_An_Prec!$AQ:$AQ,$C51,BV_Data_An_Prec!$AR:$AR,Q$2)</f>
        <v>0</v>
      </c>
      <c r="R51" s="243"/>
      <c r="S51" s="266">
        <f t="shared" si="21"/>
        <v>46352.32</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807.3</v>
      </c>
      <c r="M52" s="243"/>
      <c r="N52" s="266">
        <f t="shared" si="15"/>
        <v>807.3</v>
      </c>
      <c r="O52" s="243"/>
      <c r="P52" s="38"/>
      <c r="Q52" s="281">
        <f>SUMIFS(BV_Data_An_Prec!$AN:$AN,BV_Data_An_Prec!$AP:$AP,$B52,BV_Data_An_Prec!$AQ:$AQ,$C52,BV_Data_An_Prec!$AR:$AR,Q$2)</f>
        <v>0</v>
      </c>
      <c r="R52" s="243"/>
      <c r="S52" s="266">
        <f t="shared" si="21"/>
        <v>807.3</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0.25578252404380886</v>
      </c>
      <c r="L54" s="294">
        <f>+SUM(L42:L53)</f>
        <v>791056.86</v>
      </c>
      <c r="M54" s="296"/>
      <c r="N54" s="294">
        <f>+SUM(N42:N53)</f>
        <v>791056.86</v>
      </c>
      <c r="O54" s="295" t="s">
        <v>115</v>
      </c>
      <c r="P54" s="293" t="e">
        <f>Q54/Q$27</f>
        <v>#DIV/0!</v>
      </c>
      <c r="Q54" s="294">
        <f>+SUM(Q42:Q53)</f>
        <v>0</v>
      </c>
      <c r="R54" s="297"/>
      <c r="S54" s="294">
        <f>+SUM(S42:S53)</f>
        <v>649068.99000000011</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113876.73</v>
      </c>
      <c r="M57" s="238"/>
      <c r="N57" s="286">
        <f t="shared" si="22"/>
        <v>113876.73</v>
      </c>
      <c r="O57" s="238"/>
      <c r="P57" s="304"/>
      <c r="Q57" s="286">
        <f>SUMIFS(BV_Data_An_Prec!$AN:$AN,BV_Data_An_Prec!$AP:$AP,$B57,BV_Data_An_Prec!$AQ:$AQ,$C57,BV_Data_An_Prec!$AR:$AR,Q$2)</f>
        <v>0</v>
      </c>
      <c r="R57" s="238"/>
      <c r="S57" s="286">
        <f t="shared" si="23"/>
        <v>113876.73</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41571.449999999997</v>
      </c>
      <c r="M58" s="243"/>
      <c r="N58" s="266">
        <f t="shared" si="22"/>
        <v>41571.449999999997</v>
      </c>
      <c r="O58" s="243"/>
      <c r="P58" s="38"/>
      <c r="Q58" s="266">
        <f>SUMIFS(BV_Data_An_Prec!$AN:$AN,BV_Data_An_Prec!$AP:$AP,$B58,BV_Data_An_Prec!$AQ:$AQ,$C58,BV_Data_An_Prec!$AR:$AR,Q$2)</f>
        <v>0</v>
      </c>
      <c r="R58" s="243"/>
      <c r="S58" s="266">
        <f t="shared" si="23"/>
        <v>41571.449999999997</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43307.56</v>
      </c>
      <c r="M59" s="243"/>
      <c r="N59" s="266">
        <f t="shared" si="22"/>
        <v>43307.56</v>
      </c>
      <c r="O59" s="243"/>
      <c r="P59" s="38"/>
      <c r="Q59" s="266">
        <f>SUMIFS(BV_Data_An_Prec!$AN:$AN,BV_Data_An_Prec!$AP:$AP,$B59,BV_Data_An_Prec!$AQ:$AQ,$C59,BV_Data_An_Prec!$AR:$AR,Q$2)</f>
        <v>0</v>
      </c>
      <c r="R59" s="243"/>
      <c r="S59" s="266">
        <f t="shared" si="23"/>
        <v>43307.56</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75115.42</v>
      </c>
      <c r="M60" s="238"/>
      <c r="N60" s="286">
        <f t="shared" si="22"/>
        <v>75115.42</v>
      </c>
      <c r="O60" s="238"/>
      <c r="P60" s="304"/>
      <c r="Q60" s="286">
        <f>SUMIFS(BV_Data_An_Prec!$AN:$AN,BV_Data_An_Prec!$AP:$AP,$B60,BV_Data_An_Prec!$AQ:$AQ,$C60,BV_Data_An_Prec!$AR:$AR,Q$2)</f>
        <v>0</v>
      </c>
      <c r="R60" s="238"/>
      <c r="S60" s="286">
        <f t="shared" si="23"/>
        <v>75115.42</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6836.33</v>
      </c>
      <c r="M61" s="243"/>
      <c r="N61" s="266">
        <f t="shared" si="22"/>
        <v>6836.33</v>
      </c>
      <c r="O61" s="243"/>
      <c r="P61" s="38"/>
      <c r="Q61" s="266">
        <f>SUMIFS(BV_Data_An_Prec!$AN:$AN,BV_Data_An_Prec!$AP:$AP,$B61,BV_Data_An_Prec!$AQ:$AQ,$C61,BV_Data_An_Prec!$AR:$AR,Q$2)</f>
        <v>0</v>
      </c>
      <c r="R61" s="243"/>
      <c r="S61" s="266">
        <f t="shared" si="23"/>
        <v>6836.33</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21341.96</v>
      </c>
      <c r="M63" s="243"/>
      <c r="N63" s="266">
        <f t="shared" si="22"/>
        <v>21341.96</v>
      </c>
      <c r="O63" s="243"/>
      <c r="P63" s="38"/>
      <c r="Q63" s="266">
        <f>SUMIFS(BV_Data_An_Prec!$AN:$AN,BV_Data_An_Prec!$AP:$AP,$B63,BV_Data_An_Prec!$AQ:$AQ,$C63,BV_Data_An_Prec!$AR:$AR,Q$2)</f>
        <v>0</v>
      </c>
      <c r="R63" s="243"/>
      <c r="S63" s="266">
        <f t="shared" si="23"/>
        <v>21341.96</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9267.1</v>
      </c>
      <c r="M64" s="243"/>
      <c r="N64" s="266">
        <f t="shared" si="22"/>
        <v>9267.1</v>
      </c>
      <c r="O64" s="243"/>
      <c r="P64" s="38"/>
      <c r="Q64" s="266">
        <f>SUMIFS(BV_Data_An_Prec!$AN:$AN,BV_Data_An_Prec!$AP:$AP,$B64,BV_Data_An_Prec!$AQ:$AQ,$C64,BV_Data_An_Prec!$AR:$AR,Q$2)</f>
        <v>0</v>
      </c>
      <c r="R64" s="243"/>
      <c r="S64" s="266">
        <f t="shared" si="23"/>
        <v>9267.1</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8760.73</v>
      </c>
      <c r="M65" s="243"/>
      <c r="N65" s="266">
        <f t="shared" si="22"/>
        <v>8760.73</v>
      </c>
      <c r="O65" s="243"/>
      <c r="P65" s="38"/>
      <c r="Q65" s="266">
        <f>SUMIFS(BV_Data_An_Prec!$AN:$AN,BV_Data_An_Prec!$AP:$AP,$B65,BV_Data_An_Prec!$AQ:$AQ,$C65,BV_Data_An_Prec!$AR:$AR,Q$2)</f>
        <v>0</v>
      </c>
      <c r="R65" s="243"/>
      <c r="S65" s="266">
        <f t="shared" si="23"/>
        <v>8760.73</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30431.360000000001</v>
      </c>
      <c r="M66" s="243"/>
      <c r="N66" s="266">
        <f t="shared" si="22"/>
        <v>30431.360000000001</v>
      </c>
      <c r="O66" s="243"/>
      <c r="P66" s="38"/>
      <c r="Q66" s="266">
        <f>SUMIFS(BV_Data_An_Prec!$AN:$AN,BV_Data_An_Prec!$AP:$AP,$B66,BV_Data_An_Prec!$AQ:$AQ,$C66,BV_Data_An_Prec!$AR:$AR,Q$2)</f>
        <v>0</v>
      </c>
      <c r="R66" s="243"/>
      <c r="S66" s="266">
        <f t="shared" si="23"/>
        <v>30431.360000000001</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7376.03</v>
      </c>
      <c r="M67" s="243"/>
      <c r="N67" s="266">
        <f t="shared" si="22"/>
        <v>7376.03</v>
      </c>
      <c r="O67" s="243"/>
      <c r="P67" s="38"/>
      <c r="Q67" s="266">
        <f>SUMIFS(BV_Data_An_Prec!$AN:$AN,BV_Data_An_Prec!$AP:$AP,$B67,BV_Data_An_Prec!$AQ:$AQ,$C67,BV_Data_An_Prec!$AR:$AR,Q$2)</f>
        <v>0</v>
      </c>
      <c r="R67" s="243"/>
      <c r="S67" s="266">
        <f t="shared" si="23"/>
        <v>7376.03</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3672.91</v>
      </c>
      <c r="M68" s="243"/>
      <c r="N68" s="658">
        <f t="shared" si="22"/>
        <v>3672.91</v>
      </c>
      <c r="O68" s="243"/>
      <c r="P68" s="38"/>
      <c r="Q68" s="266">
        <f>SUMIFS(BV_Data_An_Prec!$AN:$AN,BV_Data_An_Prec!$AP:$AP,$B68,BV_Data_An_Prec!$AQ:$AQ,$C68,BV_Data_An_Prec!$AR:$AR,Q$2)</f>
        <v>0</v>
      </c>
      <c r="R68" s="243"/>
      <c r="S68" s="266">
        <f t="shared" si="23"/>
        <v>3672.91</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0.11690703295281624</v>
      </c>
      <c r="L72" s="294">
        <f>+SUM(L55:L71)</f>
        <v>361557.57999999996</v>
      </c>
      <c r="M72" s="296"/>
      <c r="N72" s="294">
        <f>+SUM(N55:N71)</f>
        <v>361557.57999999996</v>
      </c>
      <c r="O72" s="295" t="s">
        <v>115</v>
      </c>
      <c r="P72" s="293" t="e">
        <f>Q72/Q$27</f>
        <v>#DIV/0!</v>
      </c>
      <c r="Q72" s="294">
        <f>+SUM(Q55:Q71)</f>
        <v>0</v>
      </c>
      <c r="R72" s="297"/>
      <c r="S72" s="294">
        <f>+SUM(S55:S71)</f>
        <v>361557.57999999996</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-5.0405213979925458E-2</v>
      </c>
      <c r="L74" s="294">
        <f>L41+L54+L72</f>
        <v>-155887.8600000001</v>
      </c>
      <c r="M74" s="296"/>
      <c r="N74" s="294">
        <f t="shared" ref="N74:N82" si="24">L74-F74</f>
        <v>-155887.8600000001</v>
      </c>
      <c r="O74" s="295" t="s">
        <v>115</v>
      </c>
      <c r="P74" s="293" t="e">
        <f>Q74/Q$27</f>
        <v>#DIV/0!</v>
      </c>
      <c r="Q74" s="294">
        <f>Q41+Q54+Q72</f>
        <v>0</v>
      </c>
      <c r="R74" s="297"/>
      <c r="S74" s="294">
        <f>L74-Q74</f>
        <v>-155887.8600000001</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3136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284966.53000000003</v>
      </c>
      <c r="M75" s="243"/>
      <c r="N75" s="266">
        <f t="shared" si="24"/>
        <v>284966.53000000003</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284966.53000000003</v>
      </c>
      <c r="M83" s="296"/>
      <c r="N83" s="294">
        <f>+SUM(N75:N82)</f>
        <v>284966.53000000003</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3533547.5400000084</v>
      </c>
      <c r="M85" s="960"/>
      <c r="N85" s="958">
        <f>N27-N41-N54-N72+N83</f>
        <v>3533547.5400000075</v>
      </c>
      <c r="O85" s="959"/>
      <c r="P85" s="957"/>
      <c r="Q85" s="958">
        <f>Q27-Q74+Q83</f>
        <v>0</v>
      </c>
      <c r="R85" s="961"/>
      <c r="S85" s="958">
        <f>L85-Q85</f>
        <v>3533547.5400000084</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Octobre 2025</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5"/>
      <c r="F91" s="1066"/>
      <c r="G91" s="1069"/>
      <c r="H91" s="1065"/>
      <c r="I91" s="1066"/>
      <c r="J91" s="1069" t="s">
        <v>340</v>
      </c>
      <c r="K91" s="1065"/>
      <c r="L91" s="1066"/>
      <c r="M91" s="1069" t="s">
        <v>668</v>
      </c>
      <c r="N91" s="1066"/>
      <c r="O91" s="1064" t="s">
        <v>341</v>
      </c>
      <c r="P91" s="1065"/>
      <c r="Q91" s="1066"/>
      <c r="R91" s="1067" t="s">
        <v>670</v>
      </c>
      <c r="S91" s="1068"/>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24897020.5</v>
      </c>
      <c r="M93" s="320"/>
      <c r="N93" s="321"/>
      <c r="O93" s="238"/>
      <c r="P93" s="284"/>
      <c r="Q93" s="286">
        <f>-SUMIFS(BV_Data_An_Prec!$AN:$AN,BV_Data_An_Prec!$AS:$AS,"Oui",BV_Data_An_Prec!$AP:$AP,$B93)</f>
        <v>0</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109</v>
      </c>
      <c r="K95" s="281">
        <f t="shared" si="28"/>
        <v>408.54027522935473</v>
      </c>
      <c r="L95" s="266">
        <f>-SUMIFS(BV_Data_An_Cour!$AN:$AN,BV_Data_An_Cour!$AP:$AP,$B95,BV_Data_An_Cour!$AQ:$AQ,$C95,BV_Data_An_Cour!$AR:$AR,$L2)</f>
        <v>44530.889999999665</v>
      </c>
      <c r="M95" s="245">
        <f>J95-D95</f>
        <v>109</v>
      </c>
      <c r="N95" s="246">
        <f>L95-F95</f>
        <v>44530.889999999665</v>
      </c>
      <c r="O95" s="245">
        <f>SUMIFS(BV_Data_An_Prec!$AX:$AX,BV_Data_An_Prec!$AP:$AP,$B95,BV_Data_An_Prec!$AQ:$AQ,$C95,BV_Data_An_Prec!$AY:$AY,O$2)</f>
        <v>0</v>
      </c>
      <c r="P95" s="281">
        <f t="shared" si="29"/>
        <v>0</v>
      </c>
      <c r="Q95" s="266">
        <f>-SUMIFS(BV_Data_An_Prec!$AN:$AN,BV_Data_An_Prec!$AP:$AP,$B95,BV_Data_An_Prec!$AQ:$AQ,$C95,BV_Data_An_Prec!$AR:$AR,$L2)</f>
        <v>0</v>
      </c>
      <c r="R95" s="245">
        <f>J95-O95</f>
        <v>109</v>
      </c>
      <c r="S95" s="266">
        <f t="shared" si="31"/>
        <v>44530.889999999665</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109</v>
      </c>
      <c r="K97" s="305">
        <f>IF(J97&lt;=0,0,L97/J97)</f>
        <v>408.54027522935473</v>
      </c>
      <c r="L97" s="356">
        <f>+L94+L95+L96</f>
        <v>44530.889999999665</v>
      </c>
      <c r="M97" s="252">
        <f>J97-D97</f>
        <v>109</v>
      </c>
      <c r="N97" s="251">
        <f>L97-F97</f>
        <v>44530.889999999665</v>
      </c>
      <c r="O97" s="250">
        <f>+O94+O95+O96</f>
        <v>0</v>
      </c>
      <c r="P97" s="305">
        <f>IF(O97&lt;=0,0,Q97/O97)</f>
        <v>0</v>
      </c>
      <c r="Q97" s="356">
        <f>+Q94+Q95+Q96</f>
        <v>0</v>
      </c>
      <c r="R97" s="252">
        <f>R94+R95</f>
        <v>109</v>
      </c>
      <c r="S97" s="356">
        <f>S94+S95</f>
        <v>44530.889999999665</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t="e">
        <f>R97/O97</f>
        <v>#DIV/0!</v>
      </c>
      <c r="S98" s="255">
        <f>IF(Q97=0,0,(S97/Q97))</f>
        <v>0</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588</v>
      </c>
      <c r="K101" s="281">
        <f t="shared" si="34"/>
        <v>853.10479591836918</v>
      </c>
      <c r="L101" s="266">
        <f>-SUMIFS(BV_Data_An_Cour!$AN:$AN,BV_Data_An_Cour!$AP:$AP,$B101,BV_Data_An_Cour!$AQ:$AQ,$C101,BV_Data_An_Cour!$AR:$AR,L$2)</f>
        <v>501625.62000000104</v>
      </c>
      <c r="M101" s="245">
        <f>J101-D101</f>
        <v>588</v>
      </c>
      <c r="N101" s="246">
        <f>L101-F101</f>
        <v>501625.62000000104</v>
      </c>
      <c r="O101" s="245">
        <f>SUMIFS(BV_Data_An_Prec!$AX:$AX,BV_Data_An_Prec!$AP:$AP,$B101,BV_Data_An_Prec!$AQ:$AQ,$C101,BV_Data_An_Prec!$AY:$AY,O$2)</f>
        <v>0</v>
      </c>
      <c r="P101" s="281">
        <f t="shared" ref="P101" si="38">IF(O101=0,0,Q101/O101)</f>
        <v>0</v>
      </c>
      <c r="Q101" s="266">
        <f>-SUMIFS(BV_Data_An_Prec!$AN:$AN,BV_Data_An_Prec!$AP:$AP,$B101,BV_Data_An_Prec!$AQ:$AQ,$C101,BV_Data_An_Prec!$AR:$AR,Q$2)</f>
        <v>0</v>
      </c>
      <c r="R101" s="245">
        <f>J101-O101</f>
        <v>588</v>
      </c>
      <c r="S101" s="266">
        <f t="shared" ref="S101" si="39">L101-Q101</f>
        <v>501625.62000000104</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314.35422018348623</v>
      </c>
      <c r="L103" s="266">
        <f>-SUMIFS(BV_Data_An_Cour!$AN:$AN,BV_Data_An_Cour!$AP:$AP,$B103,BV_Data_An_Cour!$AQ:$AQ,$C103,BV_Data_An_Cour!$AR:$AR,$L2)</f>
        <v>34264.61</v>
      </c>
      <c r="M103" s="245"/>
      <c r="N103" s="246">
        <f>L103-F103</f>
        <v>34264.61</v>
      </c>
      <c r="O103" s="245"/>
      <c r="P103" s="281">
        <f>IF(O97=0,0,Q103/O97)</f>
        <v>0</v>
      </c>
      <c r="Q103" s="266">
        <f>-SUMIFS(BV_Data_An_Prec!$AN:$AN,BV_Data_An_Prec!$AP:$AP,$B103,BV_Data_An_Prec!$AQ:$AQ,$C103,BV_Data_An_Prec!$AR:$AR,$L2)</f>
        <v>0</v>
      </c>
      <c r="R103" s="267">
        <f>P103-K103</f>
        <v>-314.35422018348623</v>
      </c>
      <c r="S103" s="266">
        <f t="shared" ref="S103:S105" si="41">L103-Q103</f>
        <v>34264.61</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650.81788990825692</v>
      </c>
      <c r="L104" s="266">
        <f>-SUMIFS(BV_Data_An_Cour!$AN:$AN,BV_Data_An_Cour!$AP:$AP,$B104,BV_Data_An_Cour!$AQ:$AQ,$C104,BV_Data_An_Cour!$AR:$AR,$L2)</f>
        <v>70939.150000000009</v>
      </c>
      <c r="M104" s="245"/>
      <c r="N104" s="246">
        <f>L104-F104</f>
        <v>70939.150000000009</v>
      </c>
      <c r="O104" s="245"/>
      <c r="P104" s="281">
        <f>IF(O97=0,0,Q104/O97)</f>
        <v>0</v>
      </c>
      <c r="Q104" s="266">
        <f>-SUMIFS(BV_Data_An_Prec!$AN:$AN,BV_Data_An_Prec!$AP:$AP,$B104,BV_Data_An_Prec!$AQ:$AQ,$C104,BV_Data_An_Prec!$AR:$AR,$L2)</f>
        <v>0</v>
      </c>
      <c r="R104" s="267">
        <f t="shared" ref="R104:R106" si="42">P104-K104</f>
        <v>-650.81788990825692</v>
      </c>
      <c r="S104" s="266">
        <f t="shared" si="41"/>
        <v>70939.150000000009</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109</v>
      </c>
      <c r="K106" s="355">
        <f>IF(J106&lt;=0,0,L106/J106)</f>
        <v>965.17211009174321</v>
      </c>
      <c r="L106" s="356">
        <f>L103+L104+L105</f>
        <v>105203.76000000001</v>
      </c>
      <c r="M106" s="265">
        <f>J106-D106</f>
        <v>109</v>
      </c>
      <c r="N106" s="251">
        <f>L106-F106</f>
        <v>105203.76000000001</v>
      </c>
      <c r="O106" s="252">
        <f>O97</f>
        <v>0</v>
      </c>
      <c r="P106" s="355">
        <f>IF(O106&lt;=0,0,Q106/O106)</f>
        <v>0</v>
      </c>
      <c r="Q106" s="356">
        <f>Q103+Q104+Q105</f>
        <v>0</v>
      </c>
      <c r="R106" s="357">
        <f t="shared" si="42"/>
        <v>-965.17211009174321</v>
      </c>
      <c r="S106" s="356">
        <f>L106-Q106</f>
        <v>105203.76000000001</v>
      </c>
      <c r="T106" s="38"/>
      <c r="U106" s="244"/>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0</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697</v>
      </c>
      <c r="K109" s="269">
        <f>IF(J109&lt;=0,0,L109/J109)</f>
        <v>934.51975609756198</v>
      </c>
      <c r="L109" s="271">
        <f>L97+L106+L101+L99</f>
        <v>651360.27000000072</v>
      </c>
      <c r="M109" s="272">
        <f>J109-D109</f>
        <v>697</v>
      </c>
      <c r="N109" s="271">
        <f>N97+N106+N101+N99</f>
        <v>651360.27000000072</v>
      </c>
      <c r="O109" s="272">
        <f>O97+O101</f>
        <v>0</v>
      </c>
      <c r="P109" s="269">
        <f>IF(O109&lt;=0,0,Q109/O109)</f>
        <v>0</v>
      </c>
      <c r="Q109" s="271">
        <f>Q97+Q106+Q101+Q99</f>
        <v>0</v>
      </c>
      <c r="R109" s="272">
        <f>J109-O109</f>
        <v>697</v>
      </c>
      <c r="S109" s="271">
        <f>S97+S106+S101+S99</f>
        <v>651360.27000000072</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v>
      </c>
      <c r="S110" s="326">
        <f>IF(Q109=0,0,(S109/Q109))</f>
        <v>0</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1.309521996977838</v>
      </c>
      <c r="K113" s="281">
        <f>IF($J$97=0,0,L113/(J$94+J$95+J96))</f>
        <v>534.99247706422022</v>
      </c>
      <c r="L113" s="266">
        <f>SUMIFS(BV_Data_An_Cour!$AN:$AN,BV_Data_An_Cour!$AP:$AP,$B113,BV_Data_An_Cour!$AQ:$AQ,$C113,BV_Data_An_Cour!$AR:$AR,$L$2)</f>
        <v>58314.18</v>
      </c>
      <c r="M113" s="243"/>
      <c r="N113" s="266">
        <f t="shared" ref="N113:N154" si="44">L113-F113</f>
        <v>58314.18</v>
      </c>
      <c r="O113" s="282" t="e">
        <f>Q113/Q97</f>
        <v>#DIV/0!</v>
      </c>
      <c r="P113" s="281" t="e">
        <f>IF($J$97=0,0,Q113/(O$94+O$95+O96))</f>
        <v>#DIV/0!</v>
      </c>
      <c r="Q113" s="266">
        <f>SUMIFS(BV_Data_An_Prec!$AN:$AN,BV_Data_An_Prec!$AP:$AP,$B113,BV_Data_An_Prec!$AQ:$AQ,$C113,BV_Data_An_Prec!$AR:$AR,$L$2)</f>
        <v>0</v>
      </c>
      <c r="R113" s="243"/>
      <c r="S113" s="266">
        <f>L113-Q113</f>
        <v>58314.18</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0.24781471688844581</v>
      </c>
      <c r="K114" s="284">
        <f>IF($J$97=0,0,L114/(J$94+J$95+J96))</f>
        <v>239.18385321100919</v>
      </c>
      <c r="L114" s="266">
        <f>SUMIFS(BV_Data_An_Cour!$AN:$AN,BV_Data_An_Cour!$AP:$AP,$B114,BV_Data_An_Cour!$AQ:$AQ,$C114,BV_Data_An_Cour!$AR:$AR,$L$2)</f>
        <v>26071.040000000001</v>
      </c>
      <c r="M114" s="238"/>
      <c r="N114" s="286">
        <f t="shared" si="44"/>
        <v>26071.040000000001</v>
      </c>
      <c r="O114" s="285" t="e">
        <f>Q114/(Q106)</f>
        <v>#DIV/0!</v>
      </c>
      <c r="P114" s="284" t="e">
        <f>IF($J$97=0,0,Q114/(O$94+O$95+O96))</f>
        <v>#DIV/0!</v>
      </c>
      <c r="Q114" s="266">
        <f>SUMIFS(BV_Data_An_Prec!$AN:$AN,BV_Data_An_Prec!$AP:$AP,$B114,BV_Data_An_Prec!$AQ:$AQ,$C114,BV_Data_An_Prec!$AR:$AR,$L$2)</f>
        <v>0</v>
      </c>
      <c r="R114" s="238"/>
      <c r="S114" s="286">
        <f t="shared" ref="S114:S166" si="45">L114-Q114</f>
        <v>26071.040000000001</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-159.07779816513761</v>
      </c>
      <c r="L115" s="303">
        <f>SUMIFS(BV_Data_An_Cour!$AN:$AN,BV_Data_An_Cour!$AP:$AP,$B115,BV_Data_An_Cour!$AQ:$AQ,$C115,BV_Data_An_Cour!$AR:$AR,$L$2)</f>
        <v>-17339.48</v>
      </c>
      <c r="M115" s="243"/>
      <c r="N115" s="266">
        <f t="shared" si="44"/>
        <v>-17339.48</v>
      </c>
      <c r="O115" s="243"/>
      <c r="P115" s="281" t="e">
        <f>IF($J$97=0,0,Q115/(O$94+O$95+O96))</f>
        <v>#DIV/0!</v>
      </c>
      <c r="Q115" s="303">
        <f>SUMIFS(BV_Data_An_Prec!$AN:$AN,BV_Data_An_Prec!$AP:$AP,$B115,BV_Data_An_Prec!$AQ:$AQ,$C115,BV_Data_An_Prec!$AR:$AR,$L$2)</f>
        <v>0</v>
      </c>
      <c r="R115" s="243"/>
      <c r="S115" s="266">
        <f t="shared" si="45"/>
        <v>-17339.48</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19.165045871559631</v>
      </c>
      <c r="L116" s="266">
        <f>SUMIFS(BV_Data_An_Cour!$AN:$AN,BV_Data_An_Cour!$AP:$AP,$B116,BV_Data_An_Cour!$AQ:$AQ,$C116,BV_Data_An_Cour!$AR:$AR,$L$2)</f>
        <v>2088.9899999999998</v>
      </c>
      <c r="M116" s="243"/>
      <c r="N116" s="266">
        <f t="shared" si="44"/>
        <v>2088.9899999999998</v>
      </c>
      <c r="O116" s="243"/>
      <c r="P116" s="281" t="e">
        <f>IF($J$97=0,0,Q116/(O$94+O$95+O96))</f>
        <v>#DIV/0!</v>
      </c>
      <c r="Q116" s="266">
        <f>SUMIFS(BV_Data_An_Prec!$AN:$AN,BV_Data_An_Prec!$AP:$AP,$B116,BV_Data_An_Prec!$AQ:$AQ,$C116,BV_Data_An_Prec!$AR:$AR,$L$2)</f>
        <v>0</v>
      </c>
      <c r="R116" s="243"/>
      <c r="S116" s="266">
        <f t="shared" si="45"/>
        <v>2088.9899999999998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t="e">
        <f>IF($J$97=0,0,Q117/(O$94+O$95+O96))</f>
        <v>#DIV/0!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400.77688073394495</v>
      </c>
      <c r="L118" s="266">
        <f>SUMIFS(BV_Data_An_Cour!$AN:$AN,BV_Data_An_Cour!$AP:$AP,$B118,BV_Data_An_Cour!$AQ:$AQ,$C118,BV_Data_An_Cour!$AR:$AR,$L$2)</f>
        <v>43684.68</v>
      </c>
      <c r="M118" s="243"/>
      <c r="N118" s="266">
        <f t="shared" si="44"/>
        <v>43684.68</v>
      </c>
      <c r="O118" s="243"/>
      <c r="P118" s="281" t="e">
        <f>IF($J$97=0,0,Q118/(O$94+O$95+O96))</f>
        <v>#DIV/0!</v>
      </c>
      <c r="Q118" s="266">
        <f>SUMIFS(BV_Data_An_Prec!$AN:$AN,BV_Data_An_Prec!$AP:$AP,$B118,BV_Data_An_Prec!$AQ:$AQ,$C118,BV_Data_An_Prec!$AR:$AR,$L$2)</f>
        <v>0</v>
      </c>
      <c r="R118" s="243"/>
      <c r="S118" s="266">
        <f t="shared" si="45"/>
        <v>43684.68</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1928.9623853211008</v>
      </c>
      <c r="L119" s="658">
        <f>SUMIFS(BV_Data_An_Cour!$AN:$AN,BV_Data_An_Cour!$AP:$AP,$B119,BV_Data_An_Cour!$AQ:$AQ,$C119,BV_Data_An_Cour!$AR:$AR,$L$2)</f>
        <v>210256.9</v>
      </c>
      <c r="M119" s="243"/>
      <c r="N119" s="658">
        <f t="shared" si="44"/>
        <v>210256.9</v>
      </c>
      <c r="O119" s="243"/>
      <c r="P119" s="281" t="e">
        <f>IF($J$97=0,0,Q119/(O$94+O$95+O96))</f>
        <v>#DIV/0!</v>
      </c>
      <c r="Q119" s="658">
        <f>SUMIFS(BV_Data_An_Prec!$AN:$AN,BV_Data_An_Prec!$AP:$AP,$B119,BV_Data_An_Prec!$AQ:$AQ,$C119,BV_Data_An_Prec!$AR:$AR,$L$2)</f>
        <v>0</v>
      </c>
      <c r="R119" s="243"/>
      <c r="S119" s="266">
        <f t="shared" si="45"/>
        <v>210256.9</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3129</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t="e">
        <f t="shared" ref="P120:P122" si="47">IF($J$97=0,0,Q120/(O$94+O$95))</f>
        <v>#DIV/0!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3130</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t="e">
        <f t="shared" si="47"/>
        <v>#DIV/0!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t="e">
        <f t="shared" si="47"/>
        <v>#DIV/0!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0.4960024810846993</v>
      </c>
      <c r="L123" s="294">
        <f>SUM(L113:L122)</f>
        <v>323076.31</v>
      </c>
      <c r="M123" s="296"/>
      <c r="N123" s="294">
        <f t="shared" si="44"/>
        <v>323076.31</v>
      </c>
      <c r="O123" s="295" t="s">
        <v>115</v>
      </c>
      <c r="P123" s="293" t="e">
        <f>Q123/Q$109</f>
        <v>#DIV/0!</v>
      </c>
      <c r="Q123" s="294">
        <f>SUM(Q113:Q122)</f>
        <v>0</v>
      </c>
      <c r="R123" s="297"/>
      <c r="S123" s="294">
        <f t="shared" si="45"/>
        <v>323076.31</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137644.88</v>
      </c>
      <c r="M124" s="243"/>
      <c r="N124" s="266">
        <f t="shared" si="44"/>
        <v>137644.88</v>
      </c>
      <c r="O124" s="243"/>
      <c r="P124" s="38"/>
      <c r="Q124" s="266">
        <f>SUMIFS(BV_Data_An_Prec!$AN:$AN,BV_Data_An_Prec!$AP:$AP,$B124,BV_Data_An_Prec!$AQ:$AQ,$C124,BV_Data_An_Prec!$AR:$AR,$L$2)</f>
        <v>0</v>
      </c>
      <c r="R124" s="243"/>
      <c r="S124" s="266">
        <f t="shared" si="45"/>
        <v>137644.88</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56594.18</v>
      </c>
      <c r="M125" s="243"/>
      <c r="N125" s="266">
        <f t="shared" si="44"/>
        <v>56594.18</v>
      </c>
      <c r="O125" s="243"/>
      <c r="P125" s="38"/>
      <c r="Q125" s="266">
        <f>SUMIFS(BV_Data_An_Prec!$AN:$AN,BV_Data_An_Prec!$AP:$AP,$B125,BV_Data_An_Prec!$AQ:$AQ,$C125,BV_Data_An_Prec!$AR:$AR,$L$2)</f>
        <v>0</v>
      </c>
      <c r="R125" s="243"/>
      <c r="S125" s="266">
        <f t="shared" si="45"/>
        <v>56594.18</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18196.98</v>
      </c>
      <c r="M126" s="233"/>
      <c r="N126" s="303">
        <f t="shared" si="44"/>
        <v>18196.98</v>
      </c>
      <c r="O126" s="233"/>
      <c r="P126" s="301"/>
      <c r="Q126" s="303">
        <f>SUMIFS(BV_Data_An_Prec!$AN:$AN,BV_Data_An_Prec!$AP:$AP,$B126,BV_Data_An_Prec!$AQ:$AQ,$C126,BV_Data_An_Prec!$AR:$AR,$L$2)</f>
        <v>0</v>
      </c>
      <c r="R126" s="233"/>
      <c r="S126" s="303">
        <f t="shared" si="45"/>
        <v>18196.98</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11751.42</v>
      </c>
      <c r="M131" s="243"/>
      <c r="N131" s="266">
        <f t="shared" si="44"/>
        <v>11751.42</v>
      </c>
      <c r="O131" s="243"/>
      <c r="P131" s="38"/>
      <c r="Q131" s="266">
        <f>SUMIFS(BV_Data_An_Prec!$AN:$AN,BV_Data_An_Prec!$AP:$AP,$B131,BV_Data_An_Prec!$AQ:$AQ,$C131,BV_Data_An_Prec!$AR:$AR,$L$2)</f>
        <v>0</v>
      </c>
      <c r="R131" s="243"/>
      <c r="S131" s="266">
        <f t="shared" si="45"/>
        <v>11751.42</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24990.61</v>
      </c>
      <c r="M132" s="233"/>
      <c r="N132" s="303">
        <f t="shared" si="44"/>
        <v>24990.61</v>
      </c>
      <c r="O132" s="233"/>
      <c r="P132" s="301"/>
      <c r="Q132" s="303">
        <f>SUMIFS(BV_Data_An_Prec!$AN:$AN,BV_Data_An_Prec!$AP:$AP,$B132,BV_Data_An_Prec!$AQ:$AQ,$C132,BV_Data_An_Prec!$AR:$AR,$L$2)</f>
        <v>0</v>
      </c>
      <c r="R132" s="233"/>
      <c r="S132" s="303">
        <f t="shared" si="45"/>
        <v>24990.61</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22506.73</v>
      </c>
      <c r="M133" s="243"/>
      <c r="N133" s="266">
        <f t="shared" si="44"/>
        <v>22506.73</v>
      </c>
      <c r="O133" s="243"/>
      <c r="P133" s="38"/>
      <c r="Q133" s="266">
        <f>SUMIFS(BV_Data_An_Prec!$AN:$AN,BV_Data_An_Prec!$AP:$AP,$B133,BV_Data_An_Prec!$AQ:$AQ,$C133,BV_Data_An_Prec!$AR:$AR,$L$2)</f>
        <v>0</v>
      </c>
      <c r="R133" s="243"/>
      <c r="S133" s="266">
        <f t="shared" si="45"/>
        <v>22506.73</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254.92</v>
      </c>
      <c r="M134" s="243"/>
      <c r="N134" s="266">
        <f t="shared" si="44"/>
        <v>254.92</v>
      </c>
      <c r="O134" s="243"/>
      <c r="P134" s="38"/>
      <c r="Q134" s="266">
        <f>SUMIFS(BV_Data_An_Prec!$AN:$AN,BV_Data_An_Prec!$AP:$AP,$B134,BV_Data_An_Prec!$AQ:$AQ,$C134,BV_Data_An_Prec!$AR:$AR,$L$2)</f>
        <v>0</v>
      </c>
      <c r="R134" s="243"/>
      <c r="S134" s="266">
        <f t="shared" si="45"/>
        <v>254.92</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0.41749509837313176</v>
      </c>
      <c r="L136" s="294">
        <f>SUM(L124:L135)</f>
        <v>271939.71999999997</v>
      </c>
      <c r="M136" s="296"/>
      <c r="N136" s="294">
        <f t="shared" si="44"/>
        <v>271939.71999999997</v>
      </c>
      <c r="O136" s="295" t="s">
        <v>115</v>
      </c>
      <c r="P136" s="293" t="e">
        <f>Q136/Q$109</f>
        <v>#DIV/0!</v>
      </c>
      <c r="Q136" s="294">
        <f>SUM(Q124:Q135)</f>
        <v>0</v>
      </c>
      <c r="R136" s="297"/>
      <c r="S136" s="294">
        <f t="shared" si="45"/>
        <v>271939.71999999997</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28656.82</v>
      </c>
      <c r="M139" s="238"/>
      <c r="N139" s="286">
        <f t="shared" si="44"/>
        <v>28656.82</v>
      </c>
      <c r="O139" s="238"/>
      <c r="P139" s="304"/>
      <c r="Q139" s="286">
        <f>SUMIFS(BV_Data_An_Prec!$AN:$AN,BV_Data_An_Prec!$AP:$AP,$B139,BV_Data_An_Prec!$AQ:$AQ,$C139,BV_Data_An_Prec!$AR:$AR,$L$2)</f>
        <v>0</v>
      </c>
      <c r="R139" s="238"/>
      <c r="S139" s="286">
        <f t="shared" si="45"/>
        <v>28656.82</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18223.87</v>
      </c>
      <c r="M140" s="243"/>
      <c r="N140" s="266">
        <f t="shared" si="44"/>
        <v>18223.87</v>
      </c>
      <c r="O140" s="243"/>
      <c r="P140" s="38"/>
      <c r="Q140" s="266">
        <f>SUMIFS(BV_Data_An_Prec!$AN:$AN,BV_Data_An_Prec!$AP:$AP,$B140,BV_Data_An_Prec!$AQ:$AQ,$C140,BV_Data_An_Prec!$AR:$AR,$L$2)</f>
        <v>0</v>
      </c>
      <c r="R140" s="243"/>
      <c r="S140" s="266">
        <f t="shared" si="45"/>
        <v>18223.87</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21647.030000000002</v>
      </c>
      <c r="M141" s="243"/>
      <c r="N141" s="266">
        <f t="shared" si="44"/>
        <v>21647.030000000002</v>
      </c>
      <c r="O141" s="243"/>
      <c r="P141" s="38"/>
      <c r="Q141" s="266">
        <f>SUMIFS(BV_Data_An_Prec!$AN:$AN,BV_Data_An_Prec!$AP:$AP,$B141,BV_Data_An_Prec!$AQ:$AQ,$C141,BV_Data_An_Prec!$AR:$AR,$L$2)</f>
        <v>0</v>
      </c>
      <c r="R141" s="243"/>
      <c r="S141" s="266">
        <f t="shared" si="45"/>
        <v>21647.030000000002</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44353.72</v>
      </c>
      <c r="M142" s="238"/>
      <c r="N142" s="286">
        <f t="shared" si="44"/>
        <v>44353.72</v>
      </c>
      <c r="O142" s="238"/>
      <c r="P142" s="304"/>
      <c r="Q142" s="286">
        <f>SUMIFS(BV_Data_An_Prec!$AN:$AN,BV_Data_An_Prec!$AP:$AP,$B142,BV_Data_An_Prec!$AQ:$AQ,$C142,BV_Data_An_Prec!$AR:$AR,$L$2)</f>
        <v>0</v>
      </c>
      <c r="R142" s="238"/>
      <c r="S142" s="286">
        <f t="shared" si="45"/>
        <v>44353.72</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1281.3499999999999</v>
      </c>
      <c r="M143" s="243"/>
      <c r="N143" s="266">
        <f t="shared" si="44"/>
        <v>1281.3499999999999</v>
      </c>
      <c r="O143" s="243"/>
      <c r="P143" s="38"/>
      <c r="Q143" s="266">
        <f>SUMIFS(BV_Data_An_Prec!$AN:$AN,BV_Data_An_Prec!$AP:$AP,$B143,BV_Data_An_Prec!$AQ:$AQ,$C143,BV_Data_An_Prec!$AR:$AR,$L$2)</f>
        <v>0</v>
      </c>
      <c r="R143" s="243"/>
      <c r="S143" s="266">
        <f t="shared" si="45"/>
        <v>1281.3499999999999</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6680.39</v>
      </c>
      <c r="M145" s="243"/>
      <c r="N145" s="266">
        <f t="shared" si="44"/>
        <v>6680.39</v>
      </c>
      <c r="O145" s="243"/>
      <c r="P145" s="38"/>
      <c r="Q145" s="266">
        <f>SUMIFS(BV_Data_An_Prec!$AN:$AN,BV_Data_An_Prec!$AP:$AP,$B145,BV_Data_An_Prec!$AQ:$AQ,$C145,BV_Data_An_Prec!$AR:$AR,$L$2)</f>
        <v>0</v>
      </c>
      <c r="R145" s="243"/>
      <c r="S145" s="266">
        <f t="shared" si="45"/>
        <v>6680.39</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5906.4</v>
      </c>
      <c r="M146" s="243"/>
      <c r="N146" s="266">
        <f t="shared" si="44"/>
        <v>5906.4</v>
      </c>
      <c r="O146" s="243"/>
      <c r="P146" s="38"/>
      <c r="Q146" s="266">
        <f>SUMIFS(BV_Data_An_Prec!$AN:$AN,BV_Data_An_Prec!$AP:$AP,$B146,BV_Data_An_Prec!$AQ:$AQ,$C146,BV_Data_An_Prec!$AR:$AR,$L$2)</f>
        <v>0</v>
      </c>
      <c r="R146" s="243"/>
      <c r="S146" s="266">
        <f t="shared" si="45"/>
        <v>5906.4</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10381.82</v>
      </c>
      <c r="M147" s="243"/>
      <c r="N147" s="266">
        <f t="shared" si="44"/>
        <v>10381.82</v>
      </c>
      <c r="O147" s="243"/>
      <c r="P147" s="38"/>
      <c r="Q147" s="266">
        <f>SUMIFS(BV_Data_An_Prec!$AN:$AN,BV_Data_An_Prec!$AP:$AP,$B147,BV_Data_An_Prec!$AQ:$AQ,$C147,BV_Data_An_Prec!$AR:$AR,$L$2)</f>
        <v>0</v>
      </c>
      <c r="R147" s="243"/>
      <c r="S147" s="266">
        <f t="shared" si="45"/>
        <v>10381.82</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28006.589999999997</v>
      </c>
      <c r="M148" s="243"/>
      <c r="N148" s="266">
        <f t="shared" si="44"/>
        <v>28006.589999999997</v>
      </c>
      <c r="O148" s="243"/>
      <c r="P148" s="38"/>
      <c r="Q148" s="266">
        <f>SUMIFS(BV_Data_An_Prec!$AN:$AN,BV_Data_An_Prec!$AP:$AP,$B148,BV_Data_An_Prec!$AQ:$AQ,$C148,BV_Data_An_Prec!$AR:$AR,$L$2)</f>
        <v>0</v>
      </c>
      <c r="R148" s="243"/>
      <c r="S148" s="266">
        <f t="shared" si="45"/>
        <v>28006.589999999997</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464</v>
      </c>
      <c r="M149" s="243"/>
      <c r="N149" s="266">
        <f t="shared" si="44"/>
        <v>464</v>
      </c>
      <c r="O149" s="243"/>
      <c r="P149" s="38"/>
      <c r="Q149" s="266">
        <f>SUMIFS(BV_Data_An_Prec!$AN:$AN,BV_Data_An_Prec!$AP:$AP,$B149,BV_Data_An_Prec!$AQ:$AQ,$C149,BV_Data_An_Prec!$AR:$AR,$L$2)</f>
        <v>0</v>
      </c>
      <c r="R149" s="243"/>
      <c r="S149" s="266">
        <f t="shared" si="45"/>
        <v>464</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2465.8200000000002</v>
      </c>
      <c r="M150" s="243"/>
      <c r="N150" s="658">
        <f t="shared" si="44"/>
        <v>2465.8200000000002</v>
      </c>
      <c r="O150" s="243"/>
      <c r="P150" s="38"/>
      <c r="Q150" s="658">
        <f>SUMIFS(BV_Data_An_Prec!$AN:$AN,BV_Data_An_Prec!$AP:$AP,$B150,BV_Data_An_Prec!$AQ:$AQ,$C150,BV_Data_An_Prec!$AR:$AR,Q$2)</f>
        <v>0</v>
      </c>
      <c r="R150" s="243"/>
      <c r="S150" s="266">
        <f t="shared" si="45"/>
        <v>2465.8200000000002</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0.25802588481486566</v>
      </c>
      <c r="L154" s="294">
        <f>+SUM(L137:L153)</f>
        <v>168067.81</v>
      </c>
      <c r="M154" s="296"/>
      <c r="N154" s="294">
        <f t="shared" si="44"/>
        <v>168067.81</v>
      </c>
      <c r="O154" s="295" t="s">
        <v>115</v>
      </c>
      <c r="P154" s="293" t="e">
        <f>Q154/Q$109</f>
        <v>#DIV/0!</v>
      </c>
      <c r="Q154" s="294">
        <f>+SUM(Q137:Q153)</f>
        <v>0</v>
      </c>
      <c r="R154" s="297"/>
      <c r="S154" s="294">
        <f t="shared" si="45"/>
        <v>168067.81</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1.171523464272697</v>
      </c>
      <c r="L156" s="294">
        <f>L123+L136+L154</f>
        <v>763083.84000000008</v>
      </c>
      <c r="M156" s="296"/>
      <c r="N156" s="294">
        <f t="shared" ref="N156:N163" si="48">L156-F156</f>
        <v>763083.84000000008</v>
      </c>
      <c r="O156" s="295" t="s">
        <v>115</v>
      </c>
      <c r="P156" s="293" t="e">
        <f>Q156/Q$109</f>
        <v>#DIV/0!</v>
      </c>
      <c r="Q156" s="294">
        <f>Q123+Q136+Q154</f>
        <v>0</v>
      </c>
      <c r="R156" s="297"/>
      <c r="S156" s="294">
        <f t="shared" si="45"/>
        <v>763083.84000000008</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-111723.56999999937</v>
      </c>
      <c r="M166" s="960"/>
      <c r="N166" s="958">
        <f>L166-F166</f>
        <v>-111723.56999999937</v>
      </c>
      <c r="O166" s="959"/>
      <c r="P166" s="957"/>
      <c r="Q166" s="958">
        <f>Q109-Q156+Q164</f>
        <v>0</v>
      </c>
      <c r="R166" s="961"/>
      <c r="S166" s="958">
        <f t="shared" si="45"/>
        <v>-111723.56999999937</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Octobre 2025</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70"/>
      <c r="G171" s="1067"/>
      <c r="H171" s="1064"/>
      <c r="I171" s="1070"/>
      <c r="J171" s="1067" t="s">
        <v>340</v>
      </c>
      <c r="K171" s="1064"/>
      <c r="L171" s="1070"/>
      <c r="M171" s="1067" t="s">
        <v>668</v>
      </c>
      <c r="N171" s="1070"/>
      <c r="O171" s="1067" t="s">
        <v>341</v>
      </c>
      <c r="P171" s="1064"/>
      <c r="Q171" s="1070"/>
      <c r="R171" s="1067" t="s">
        <v>670</v>
      </c>
      <c r="S171" s="1070"/>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54048655.200000003</v>
      </c>
      <c r="M173" s="320"/>
      <c r="N173" s="321"/>
      <c r="O173" s="238"/>
      <c r="P173" s="284"/>
      <c r="Q173" s="286">
        <f>-SUMIFS(BV_Data_An_Prec!$AN:$AN,BV_Data_An_Prec!$AS:$AS,"Oui",BV_Data_An_Prec!$AP:$AP,$B173)</f>
        <v>0</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521</v>
      </c>
      <c r="K175" s="281">
        <f t="shared" ref="K175:K179" si="51">IF(J175=0,0,L175/J175)</f>
        <v>1225.991996161225</v>
      </c>
      <c r="L175" s="266">
        <f>-SUMIFS(BV_Data_An_Cour!$AN:$AN,BV_Data_An_Cour!$AP:$AP,$B175,BV_Data_An_Cour!$AQ:$AQ,$C175,BV_Data_An_Cour!$AR:$AR,$L2)</f>
        <v>638741.82999999821</v>
      </c>
      <c r="M175" s="245">
        <f>J175-D175</f>
        <v>521</v>
      </c>
      <c r="N175" s="246">
        <f>L175-F175</f>
        <v>638741.82999999821</v>
      </c>
      <c r="O175" s="245">
        <f>SUMIFS(BV_Data_An_Prec!$AX:$AX,BV_Data_An_Prec!$AP:$AP,$B175,BV_Data_An_Prec!$AQ:$AQ,$C175,BV_Data_An_Prec!$AY:$AY,O$2)</f>
        <v>0</v>
      </c>
      <c r="P175" s="281">
        <f t="shared" ref="P175:P179" si="52">IF(O175=0,0,Q175/O175)</f>
        <v>0</v>
      </c>
      <c r="Q175" s="266">
        <f>-SUMIFS(BV_Data_An_Prec!$AN:$AN,BV_Data_An_Prec!$AP:$AP,$B175,BV_Data_An_Prec!$AQ:$AQ,$C175,BV_Data_An_Prec!$AR:$AR,$L2)</f>
        <v>0</v>
      </c>
      <c r="R175" s="245">
        <f t="shared" ref="R175:R177" si="53">J175-O175</f>
        <v>521</v>
      </c>
      <c r="S175" s="266">
        <f t="shared" ref="S175:S179" si="54">L175-Q175</f>
        <v>638741.82999999821</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#DIV/0!</v>
      </c>
      <c r="S176" s="988">
        <f>IF(Q175=0,0,(S175/Q175))</f>
        <v>0</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191</v>
      </c>
      <c r="K179" s="281">
        <f t="shared" si="51"/>
        <v>3282.2085340314043</v>
      </c>
      <c r="L179" s="266">
        <f>-SUMIFS(BV_Data_An_Cour!$AN:$AN,BV_Data_An_Cour!$AP:$AP,$B179,BV_Data_An_Cour!$AQ:$AQ,$C179,BV_Data_An_Cour!$AR:$AR,$L2)</f>
        <v>626901.82999999821</v>
      </c>
      <c r="M179" s="245">
        <f>J179-D179</f>
        <v>191</v>
      </c>
      <c r="N179" s="246">
        <f>L179-F179</f>
        <v>626901.82999999821</v>
      </c>
      <c r="O179" s="245">
        <f>SUMIFS(BV_Data_An_Prec!$AX:$AX,BV_Data_An_Prec!$AP:$AP,$B179,BV_Data_An_Prec!$AQ:$AQ,$C179,BV_Data_An_Prec!$AY:$AY,O$2)</f>
        <v>0</v>
      </c>
      <c r="P179" s="281">
        <f t="shared" si="52"/>
        <v>0</v>
      </c>
      <c r="Q179" s="266">
        <f>-SUMIFS(BV_Data_An_Prec!$AN:$AN,BV_Data_An_Prec!$AP:$AP,$B179,BV_Data_An_Prec!$AQ:$AQ,$C179,BV_Data_An_Prec!$AR:$AR,$L2)</f>
        <v>0</v>
      </c>
      <c r="R179" s="245">
        <f>J179-O179</f>
        <v>191</v>
      </c>
      <c r="S179" s="266">
        <f t="shared" si="54"/>
        <v>626901.82999999821</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t="e">
        <f>R179/O179</f>
        <v>#DIV/0!</v>
      </c>
      <c r="S180" s="332">
        <f>IF(Q179=0,0,(S179/Q179))</f>
        <v>0</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3138</v>
      </c>
      <c r="D182" s="269">
        <f>D175+D177+D179</f>
        <v>0</v>
      </c>
      <c r="E182" s="270">
        <f>IF(D182&lt;=0,0,F182/D182)</f>
        <v>0</v>
      </c>
      <c r="F182" s="271" t="e">
        <f>#REF!+#REF!+#REF!</f>
        <v>#REF!</v>
      </c>
      <c r="G182" s="272"/>
      <c r="H182" s="270"/>
      <c r="I182" s="271"/>
      <c r="J182" s="272">
        <f>J175+J177+J179</f>
        <v>712</v>
      </c>
      <c r="K182" s="269">
        <f>IF(J182&lt;=0,0,L182/J182)</f>
        <v>1777.5894101123545</v>
      </c>
      <c r="L182" s="271">
        <f>L175+L179+L177</f>
        <v>1265643.6599999964</v>
      </c>
      <c r="M182" s="272">
        <f>J182-D182</f>
        <v>712</v>
      </c>
      <c r="N182" s="271" t="e">
        <f>#REF!+#REF!+#REF!+#REF!</f>
        <v>#REF!</v>
      </c>
      <c r="O182" s="272">
        <f>O175+O177+O179</f>
        <v>0</v>
      </c>
      <c r="P182" s="269">
        <f>IF(O182&lt;=0,0,Q182/O182)</f>
        <v>0</v>
      </c>
      <c r="Q182" s="271">
        <f>Q175+Q179+Q177</f>
        <v>0</v>
      </c>
      <c r="R182" s="272">
        <f>J182-O182</f>
        <v>712</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v>
      </c>
      <c r="S183" s="326">
        <f>IF(Q182=0,0,(S182/Q182))</f>
        <v>0</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t="e">
        <f>Q186/Q182</f>
        <v>#DIV/0!</v>
      </c>
      <c r="P186" s="281" t="e">
        <f>IF($J$97=0,0,Q186/(O$94+O$95+O182))</f>
        <v>#DIV/0!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t="e">
        <f>Q187/(Q182)</f>
        <v>#DIV/0!</v>
      </c>
      <c r="P187" s="284" t="e">
        <f>IF($J$97=0,0,Q187/(O$94+O$95+O182))</f>
        <v>#DIV/0!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11.468465286236299</v>
      </c>
      <c r="L188" s="303">
        <f>SUMIFS(BV_Data_An_Cour!$AN:$AN,BV_Data_An_Cour!$AP:$AP,$B188,BV_Data_An_Cour!$AQ:$AQ,$C188,BV_Data_An_Cour!$AR:$AR,$L$2)</f>
        <v>9415.61</v>
      </c>
      <c r="M188" s="243"/>
      <c r="N188" s="266">
        <f t="shared" si="56"/>
        <v>9415.61</v>
      </c>
      <c r="O188" s="243"/>
      <c r="P188" s="281" t="e">
        <f>IF($J$97=0,0,Q188/(O$94+O$95+O182))</f>
        <v>#DIV/0!</v>
      </c>
      <c r="Q188" s="303">
        <f>SUMIFS(BV_Data_An_Prec!$AN:$AN,BV_Data_An_Prec!$AP:$AP,$B188,BV_Data_An_Prec!$AQ:$AQ,$C188,BV_Data_An_Prec!$AR:$AR,$L$2)</f>
        <v>0</v>
      </c>
      <c r="R188" s="243"/>
      <c r="S188" s="266">
        <f t="shared" si="57"/>
        <v>9415.61</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t="e">
        <f>IF($J$97=0,0,Q189/(O$94+O$95+O182))</f>
        <v>#DIV/0!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t="e">
        <f>IF($J$97=0,0,Q190/(O$94+O$95+O182))</f>
        <v>#DIV/0!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t="e">
        <f>IF($J$97=0,0,Q191/(O$94+O$95+O182))</f>
        <v>#DIV/0!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193.87399512789281</v>
      </c>
      <c r="L192" s="658">
        <f>SUMIFS(BV_Data_An_Cour!$AN:$AN,BV_Data_An_Cour!$AP:$AP,$B192,BV_Data_An_Cour!$AQ:$AQ,$C192,BV_Data_An_Cour!$AR:$AR,$L$2)</f>
        <v>159170.54999999999</v>
      </c>
      <c r="M192" s="243"/>
      <c r="N192" s="658">
        <f t="shared" si="56"/>
        <v>159170.54999999999</v>
      </c>
      <c r="O192" s="243"/>
      <c r="P192" s="281" t="e">
        <f>IF($J$97=0,0,Q192/(O$94+O$95+O182))</f>
        <v>#DIV/0!</v>
      </c>
      <c r="Q192" s="658">
        <f>SUMIFS(BV_Data_An_Prec!$AN:$AN,BV_Data_An_Prec!$AP:$AP,$B192,BV_Data_An_Prec!$AQ:$AQ,$C192,BV_Data_An_Prec!$AR:$AR,$L$2)</f>
        <v>0</v>
      </c>
      <c r="R192" s="243"/>
      <c r="S192" s="266">
        <f t="shared" si="57"/>
        <v>159170.54999999999</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t="e">
        <f t="shared" ref="P193:P195" si="60">IF($J$97=0,0,Q193/(O$94+O$95))</f>
        <v>#DIV/0!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t="e">
        <f t="shared" si="60"/>
        <v>#DIV/0!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t="e">
        <f t="shared" si="60"/>
        <v>#DIV/0!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0.25882168097234393</v>
      </c>
      <c r="L196" s="294">
        <f>SUM(L186:L195)</f>
        <v>168586.15999999997</v>
      </c>
      <c r="M196" s="296"/>
      <c r="N196" s="294">
        <f t="shared" si="56"/>
        <v>168586.15999999997</v>
      </c>
      <c r="O196" s="295" t="s">
        <v>115</v>
      </c>
      <c r="P196" s="293" t="e">
        <f>Q196/Q$109</f>
        <v>#DIV/0!</v>
      </c>
      <c r="Q196" s="294">
        <f>SUM(Q186:Q195)</f>
        <v>0</v>
      </c>
      <c r="R196" s="297"/>
      <c r="S196" s="294">
        <f t="shared" si="57"/>
        <v>168586.15999999997</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332828.59000000003</v>
      </c>
      <c r="M197" s="243"/>
      <c r="N197" s="266">
        <f t="shared" si="56"/>
        <v>332828.59000000003</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112981.38</v>
      </c>
      <c r="M198" s="243"/>
      <c r="N198" s="266">
        <f t="shared" si="56"/>
        <v>112981.38</v>
      </c>
      <c r="O198" s="243"/>
      <c r="P198" s="38"/>
      <c r="Q198" s="266">
        <f>SUMIFS(BV_Data_An_Prec!$AN:$AN,BV_Data_An_Prec!$AP:$AP,$B198,BV_Data_An_Prec!$AQ:$AQ,$C198,BV_Data_An_Prec!$AR:$AR,$L$2)</f>
        <v>0</v>
      </c>
      <c r="R198" s="243"/>
      <c r="S198" s="266">
        <f t="shared" ref="S198:S227" si="61">L198-Q198</f>
        <v>112981.38</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306422.26</v>
      </c>
      <c r="M199" s="233"/>
      <c r="N199" s="303">
        <f t="shared" si="56"/>
        <v>306422.26</v>
      </c>
      <c r="O199" s="233"/>
      <c r="P199" s="301"/>
      <c r="Q199" s="303">
        <f>SUMIFS(BV_Data_An_Prec!$AN:$AN,BV_Data_An_Prec!$AP:$AP,$B199,BV_Data_An_Prec!$AQ:$AQ,$C199,BV_Data_An_Prec!$AR:$AR,$L$2)</f>
        <v>0</v>
      </c>
      <c r="R199" s="233"/>
      <c r="S199" s="303">
        <f t="shared" si="61"/>
        <v>306422.26</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26840.12</v>
      </c>
      <c r="M204" s="243"/>
      <c r="N204" s="266">
        <f t="shared" si="56"/>
        <v>26840.12</v>
      </c>
      <c r="O204" s="243"/>
      <c r="P204" s="38"/>
      <c r="Q204" s="266">
        <f>SUMIFS(BV_Data_An_Prec!$AN:$AN,BV_Data_An_Prec!$AP:$AP,$B204,BV_Data_An_Prec!$AQ:$AQ,$C204,BV_Data_An_Prec!$AR:$AR,$L$2)</f>
        <v>0</v>
      </c>
      <c r="R204" s="243"/>
      <c r="S204" s="266">
        <f t="shared" si="61"/>
        <v>26840.12</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37720.35</v>
      </c>
      <c r="M205" s="233"/>
      <c r="N205" s="303">
        <f t="shared" si="56"/>
        <v>37720.35</v>
      </c>
      <c r="O205" s="233"/>
      <c r="P205" s="301"/>
      <c r="Q205" s="303">
        <f>SUMIFS(BV_Data_An_Prec!$AN:$AN,BV_Data_An_Prec!$AP:$AP,$B205,BV_Data_An_Prec!$AQ:$AQ,$C205,BV_Data_An_Prec!$AR:$AR,$L$2)</f>
        <v>0</v>
      </c>
      <c r="R205" s="233"/>
      <c r="S205" s="303">
        <f t="shared" si="61"/>
        <v>37720.35</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16166.55</v>
      </c>
      <c r="M206" s="243"/>
      <c r="N206" s="266">
        <f t="shared" si="56"/>
        <v>16166.55</v>
      </c>
      <c r="O206" s="243"/>
      <c r="P206" s="38"/>
      <c r="Q206" s="266">
        <f>SUMIFS(BV_Data_An_Prec!$AN:$AN,BV_Data_An_Prec!$AP:$AP,$B206,BV_Data_An_Prec!$AQ:$AQ,$C206,BV_Data_An_Prec!$AR:$AR,$L$2)</f>
        <v>0</v>
      </c>
      <c r="R206" s="243"/>
      <c r="S206" s="266">
        <f t="shared" si="61"/>
        <v>16166.55</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1.2787995958058649</v>
      </c>
      <c r="L209" s="294">
        <f>SUM(L197:L208)</f>
        <v>832959.25</v>
      </c>
      <c r="M209" s="296"/>
      <c r="N209" s="294">
        <f t="shared" si="56"/>
        <v>832959.25</v>
      </c>
      <c r="O209" s="295" t="s">
        <v>115</v>
      </c>
      <c r="P209" s="293" t="e">
        <f>Q209/Q$109</f>
        <v>#DIV/0!</v>
      </c>
      <c r="Q209" s="294">
        <f>SUM(Q197:Q208)</f>
        <v>0</v>
      </c>
      <c r="R209" s="297"/>
      <c r="S209" s="294">
        <f t="shared" si="61"/>
        <v>832959.25</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341</v>
      </c>
      <c r="M215" s="238"/>
      <c r="N215" s="286">
        <f t="shared" si="56"/>
        <v>341</v>
      </c>
      <c r="O215" s="238"/>
      <c r="P215" s="304"/>
      <c r="Q215" s="286">
        <f>SUMIFS(BV_Data_An_Prec!$AN:$AN,BV_Data_An_Prec!$AP:$AP,$B215,BV_Data_An_Prec!$AQ:$AQ,$C215,BV_Data_An_Prec!$AR:$AR,$L$2)</f>
        <v>0</v>
      </c>
      <c r="R215" s="238"/>
      <c r="S215" s="286">
        <f t="shared" si="61"/>
        <v>341</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-5272.63</v>
      </c>
      <c r="M218" s="243"/>
      <c r="N218" s="266">
        <f t="shared" si="56"/>
        <v>-5272.63</v>
      </c>
      <c r="O218" s="243"/>
      <c r="P218" s="38"/>
      <c r="Q218" s="266">
        <f>SUMIFS(BV_Data_An_Prec!$AN:$AN,BV_Data_An_Prec!$AP:$AP,$B218,BV_Data_An_Prec!$AQ:$AQ,$C218,BV_Data_An_Prec!$AR:$AR,$L$2)</f>
        <v>0</v>
      </c>
      <c r="R218" s="243"/>
      <c r="S218" s="266">
        <f t="shared" si="61"/>
        <v>-5272.63</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525.91</v>
      </c>
      <c r="M219" s="243"/>
      <c r="N219" s="266">
        <f t="shared" si="56"/>
        <v>525.91</v>
      </c>
      <c r="O219" s="243"/>
      <c r="P219" s="38"/>
      <c r="Q219" s="266">
        <f>SUMIFS(BV_Data_An_Prec!$AN:$AN,BV_Data_An_Prec!$AP:$AP,$B219,BV_Data_An_Prec!$AQ:$AQ,$C219,BV_Data_An_Prec!$AR:$AR,$L$2)</f>
        <v>0</v>
      </c>
      <c r="R219" s="243"/>
      <c r="S219" s="266">
        <f t="shared" si="61"/>
        <v>525.91</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5801.95</v>
      </c>
      <c r="M220" s="243"/>
      <c r="N220" s="266">
        <f t="shared" si="56"/>
        <v>5801.95</v>
      </c>
      <c r="O220" s="243"/>
      <c r="P220" s="38"/>
      <c r="Q220" s="266">
        <f>SUMIFS(BV_Data_An_Prec!$AN:$AN,BV_Data_An_Prec!$AP:$AP,$B220,BV_Data_An_Prec!$AQ:$AQ,$C220,BV_Data_An_Prec!$AR:$AR,$L$2)</f>
        <v>0</v>
      </c>
      <c r="R220" s="243"/>
      <c r="S220" s="266">
        <f t="shared" si="61"/>
        <v>5801.95</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79.900000000000006</v>
      </c>
      <c r="M221" s="243"/>
      <c r="N221" s="266">
        <f t="shared" si="56"/>
        <v>79.900000000000006</v>
      </c>
      <c r="O221" s="243"/>
      <c r="P221" s="38"/>
      <c r="Q221" s="266">
        <f>SUMIFS(BV_Data_An_Prec!$AN:$AN,BV_Data_An_Prec!$AP:$AP,$B221,BV_Data_An_Prec!$AQ:$AQ,$C221,BV_Data_An_Prec!$AR:$AR,$L$2)</f>
        <v>0</v>
      </c>
      <c r="R221" s="243"/>
      <c r="S221" s="266">
        <f t="shared" si="61"/>
        <v>79.900000000000006</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2134.59</v>
      </c>
      <c r="M223" s="243"/>
      <c r="N223" s="658">
        <f t="shared" si="56"/>
        <v>2134.59</v>
      </c>
      <c r="O223" s="243"/>
      <c r="P223" s="38"/>
      <c r="Q223" s="658">
        <f>SUMIFS(BV_Data_An_Prec!$AN:$AN,BV_Data_An_Prec!$AP:$AP,$B223,BV_Data_An_Prec!$AQ:$AQ,$C223,BV_Data_An_Prec!$AR:$AR,Q$2)</f>
        <v>0</v>
      </c>
      <c r="R223" s="243"/>
      <c r="S223" s="266">
        <f t="shared" si="61"/>
        <v>2134.59</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5.5433531431077245E-3</v>
      </c>
      <c r="L227" s="294">
        <f>+SUM(L210:L226)</f>
        <v>3610.72</v>
      </c>
      <c r="M227" s="296"/>
      <c r="N227" s="294">
        <f t="shared" si="56"/>
        <v>3610.72</v>
      </c>
      <c r="O227" s="295" t="s">
        <v>115</v>
      </c>
      <c r="P227" s="293" t="e">
        <f>Q227/Q$109</f>
        <v>#DIV/0!</v>
      </c>
      <c r="Q227" s="294">
        <f>+SUM(Q210:Q226)</f>
        <v>0</v>
      </c>
      <c r="R227" s="297"/>
      <c r="S227" s="294">
        <f t="shared" si="61"/>
        <v>3610.72</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1.5431646299213164</v>
      </c>
      <c r="L229" s="294">
        <f>L196+L209+L227</f>
        <v>1005156.1299999999</v>
      </c>
      <c r="M229" s="296"/>
      <c r="N229" s="294">
        <f t="shared" ref="N229:N236" si="62">L229-F229</f>
        <v>1005156.1299999999</v>
      </c>
      <c r="O229" s="295" t="s">
        <v>115</v>
      </c>
      <c r="P229" s="293" t="e">
        <f>Q229/Q$109</f>
        <v>#DIV/0!</v>
      </c>
      <c r="Q229" s="294">
        <f>Q196+Q209+Q227</f>
        <v>0</v>
      </c>
      <c r="R229" s="297"/>
      <c r="S229" s="294">
        <f t="shared" ref="S229:S236" si="63">L229-Q229</f>
        <v>1005156.1299999999</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260487.52999999654</v>
      </c>
      <c r="M239" s="960"/>
      <c r="N239" s="958" t="e">
        <f>L239-F239</f>
        <v>#REF!</v>
      </c>
      <c r="O239" s="959"/>
      <c r="P239" s="957"/>
      <c r="Q239" s="958">
        <f>Q182-Q229+Q237</f>
        <v>0</v>
      </c>
      <c r="R239" s="961"/>
      <c r="S239" s="958">
        <f>L239-Q239</f>
        <v>260487.52999999654</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Octobre 2025</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5"/>
      <c r="F244" s="1066"/>
      <c r="G244" s="1069"/>
      <c r="H244" s="1065"/>
      <c r="I244" s="1066"/>
      <c r="J244" s="1069" t="s">
        <v>340</v>
      </c>
      <c r="K244" s="1065"/>
      <c r="L244" s="1066"/>
      <c r="M244" s="1069" t="s">
        <v>668</v>
      </c>
      <c r="N244" s="1066"/>
      <c r="O244" s="1064" t="s">
        <v>341</v>
      </c>
      <c r="P244" s="1065"/>
      <c r="Q244" s="1066"/>
      <c r="R244" s="1067" t="s">
        <v>670</v>
      </c>
      <c r="S244" s="1068"/>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2385</v>
      </c>
      <c r="K246" s="281">
        <f>-SUMIFS(BV_Data_An_Cour!$AN:$AN,BV_Data_An_Cour!$AS:$AS,"Oui",BV_Data_An_Cour!$AP:$AP,$B246,BV_Data_An_Cour!$AQ:$AQ,$C246)</f>
        <v>867172.79</v>
      </c>
      <c r="L246" s="266">
        <f>-SUMIFS(BV_Data_An_Cour!$AN:$AN,BV_Data_An_Cour!$AP:$AP,$B246,BV_Data_An_Cour!$AQ:$AQ,$C246,BV_Data_An_Cour!$AR:$AR,$L$2)</f>
        <v>678497.80999999994</v>
      </c>
      <c r="M246" s="282" t="e">
        <f>(K246-E246)/E246</f>
        <v>#DIV/0!</v>
      </c>
      <c r="N246" s="266">
        <f>L246-F246</f>
        <v>678497.80999999994</v>
      </c>
      <c r="O246" s="245">
        <f>SUMIFS(BV_Data_An_Prec!$AX:$AX,BV_Data_An_Prec!$AP:$AP,$B246,BV_Data_An_Prec!$AQ:$AQ,$C246,BV_Data_An_Prec!$AY:$AY,O$2)</f>
        <v>0</v>
      </c>
      <c r="P246" s="281">
        <f>-SUMIFS(BV_Data_An_Prec!$AN:$AN,BV_Data_An_Prec!$AS:$AS,"Oui",BV_Data_An_Prec!$AP:$AP,$B246,BV_Data_An_Prec!$AQ:$AQ,$C246)</f>
        <v>0</v>
      </c>
      <c r="Q246" s="266">
        <f>-SUMIFS(BV_Data_An_Prec!$AN:$AN,BV_Data_An_Prec!$AP:$AP,$B246,BV_Data_An_Prec!$AQ:$AQ,$C246,BV_Data_An_Prec!$AR:$AR,$L$2)</f>
        <v>0</v>
      </c>
      <c r="R246" s="282">
        <f>IF(O246=0,0,J246/O246)</f>
        <v>0</v>
      </c>
      <c r="S246" s="266">
        <f>L246-Q246</f>
        <v>678497.80999999994</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0.78242516119538286</v>
      </c>
      <c r="M247" s="282"/>
      <c r="N247" s="266"/>
      <c r="O247" s="267"/>
      <c r="P247" s="38"/>
      <c r="Q247" s="332">
        <f>IF(Q246=0,0,Q246/P246)</f>
        <v>0</v>
      </c>
      <c r="R247" s="267"/>
      <c r="S247" s="332">
        <f>IF(Q246=0,0,(S246/Q246))</f>
        <v>0</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363.59446121593294</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3306</v>
      </c>
      <c r="K249" s="336">
        <f>-SUMIFS(BV_Data_An_Cour!$AN:$AN,BV_Data_An_Cour!$AS:$AS,"Oui",BV_Data_An_Cour!$AP:$AP,$B249,BV_Data_An_Cour!$AQ:$AQ,$C249)</f>
        <v>515066.8</v>
      </c>
      <c r="L249" s="266">
        <f>-SUMIFS(BV_Data_An_Cour!$AN:$AN,BV_Data_An_Cour!$AP:$AP,$B249,BV_Data_An_Cour!$AQ:$AQ,$C249,BV_Data_An_Cour!$AR:$AR,$L$2)</f>
        <v>351966.45999999996</v>
      </c>
      <c r="M249" s="282" t="e">
        <f>(K249-E249)/E249</f>
        <v>#DIV/0!</v>
      </c>
      <c r="N249" s="303">
        <f>L249-F249</f>
        <v>351966.45999999996</v>
      </c>
      <c r="O249" s="245">
        <f>SUMIFS(BV_Data_An_Prec!$AX:$AX,BV_Data_An_Prec!$AP:$AP,$B249,BV_Data_An_Prec!$AQ:$AQ,$C249,BV_Data_An_Prec!$AY:$AY,O$2)</f>
        <v>0</v>
      </c>
      <c r="P249" s="336">
        <f>-SUMIFS(BV_Data_An_Prec!$AN:$AN,BV_Data_An_Prec!$AS:$AS,"Oui",BV_Data_An_Prec!$AP:$AP,$B249,BV_Data_An_Prec!$AQ:$AQ,$C249)</f>
        <v>0</v>
      </c>
      <c r="Q249" s="266">
        <f>-SUMIFS(BV_Data_An_Prec!$AN:$AN,BV_Data_An_Prec!$AP:$AP,$B249,BV_Data_An_Prec!$AQ:$AQ,$C249,BV_Data_An_Prec!$AR:$AR,$L$2)</f>
        <v>0</v>
      </c>
      <c r="R249" s="282">
        <f>IF(O249=0,0,J249/O249)</f>
        <v>0</v>
      </c>
      <c r="S249" s="266">
        <f>L249-Q249</f>
        <v>351966.45999999996</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0.68334138406901779</v>
      </c>
      <c r="M250" s="282"/>
      <c r="N250" s="332"/>
      <c r="O250" s="243"/>
      <c r="P250" s="38"/>
      <c r="Q250" s="332">
        <f>IF(Q249=0,0,Q249/P249)</f>
        <v>0</v>
      </c>
      <c r="R250" s="282"/>
      <c r="S250" s="332">
        <f>IF(Q249=0,0,(S249/Q249))</f>
        <v>0</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155.79758015728979</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5419</v>
      </c>
      <c r="K252" s="336">
        <f>-SUMIFS(BV_Data_An_Cour!$AN:$AN,BV_Data_An_Cour!$AS:$AS,"Oui",BV_Data_An_Cour!$AP:$AP,$B252,BV_Data_An_Cour!$AQ:$AQ,$C252)</f>
        <v>727595.46</v>
      </c>
      <c r="L252" s="266">
        <f>-SUMIFS(BV_Data_An_Cour!$AN:$AN,BV_Data_An_Cour!$AP:$AP,$B252,BV_Data_An_Cour!$AQ:$AQ,$C252,BV_Data_An_Cour!$AR:$AR,$L$2)</f>
        <v>531484.85</v>
      </c>
      <c r="M252" s="282" t="e">
        <f>(K252-E252)/E252</f>
        <v>#DIV/0!</v>
      </c>
      <c r="N252" s="266">
        <f>L252-F252</f>
        <v>531484.85</v>
      </c>
      <c r="O252" s="245">
        <f>SUMIFS(BV_Data_An_Prec!$AX:$AX,BV_Data_An_Prec!$AP:$AP,$B252,BV_Data_An_Prec!$AQ:$AQ,$C252,BV_Data_An_Prec!$AY:$AY,O$2)</f>
        <v>0</v>
      </c>
      <c r="P252" s="336">
        <f>-SUMIFS(BV_Data_An_Prec!$AN:$AN,BV_Data_An_Prec!$AS:$AS,"Oui",BV_Data_An_Prec!$AP:$AP,$B252,BV_Data_An_Prec!$AQ:$AQ,$C252)</f>
        <v>0</v>
      </c>
      <c r="Q252" s="266">
        <f>-SUMIFS(BV_Data_An_Prec!$AN:$AN,BV_Data_An_Prec!$AP:$AP,$B252,BV_Data_An_Prec!$AQ:$AQ,$C252,BV_Data_An_Prec!$AR:$AR,$L$2)</f>
        <v>0</v>
      </c>
      <c r="R252" s="282">
        <f>IF(O252=0,0,J252/O252)</f>
        <v>0</v>
      </c>
      <c r="S252" s="266">
        <f>L252-Q252</f>
        <v>531484.85</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0.73046751831024348</v>
      </c>
      <c r="M253" s="282"/>
      <c r="N253" s="266" t="e">
        <f>L253-F253</f>
        <v>#DIV/0!</v>
      </c>
      <c r="O253" s="267"/>
      <c r="P253" s="325"/>
      <c r="Q253" s="332">
        <f>IF(Q252=0,0,Q252/P252)</f>
        <v>0</v>
      </c>
      <c r="R253" s="267"/>
      <c r="S253" s="332">
        <f>IF(Q252=0,0,(S252/Q252))</f>
        <v>0</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134.26747739435319</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24970.18</v>
      </c>
      <c r="M258" s="267"/>
      <c r="N258" s="266">
        <f>L258-F258</f>
        <v>24970.18</v>
      </c>
      <c r="O258" s="267"/>
      <c r="P258" s="281"/>
      <c r="Q258" s="281">
        <f>-SUMIFS(BV_Data_An_Prec!$AN:$AN,BV_Data_An_Prec!$AP:$AP,$B258,BV_Data_An_Prec!$AQ:$AQ,$C258,BV_Data_An_Prec!$AR:$AR,$L$2)</f>
        <v>0</v>
      </c>
      <c r="R258" s="345"/>
      <c r="S258" s="266">
        <f t="shared" ref="S258:S259" si="65">L258-Q258</f>
        <v>24970.18</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11110</v>
      </c>
      <c r="K259" s="976">
        <f t="shared" si="68"/>
        <v>2109835.0499999998</v>
      </c>
      <c r="L259" s="977">
        <f t="shared" si="68"/>
        <v>1586919.2999999998</v>
      </c>
      <c r="M259" s="978" t="e">
        <f>(K259-E259)/E259</f>
        <v>#DIV/0!</v>
      </c>
      <c r="N259" s="977">
        <f>L259-F259</f>
        <v>1586919.2999999998</v>
      </c>
      <c r="O259" s="975">
        <f t="shared" ref="O259:Q259" si="69">O246+O249+O252+O255+O258</f>
        <v>0</v>
      </c>
      <c r="P259" s="976">
        <f t="shared" si="69"/>
        <v>0</v>
      </c>
      <c r="Q259" s="977">
        <f t="shared" si="69"/>
        <v>0</v>
      </c>
      <c r="R259" s="254">
        <f>IF(O259=0,0,J259/O259)</f>
        <v>0</v>
      </c>
      <c r="S259" s="348">
        <f t="shared" si="65"/>
        <v>1586919.2999999998</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189.90414491449144</v>
      </c>
      <c r="L260" s="255">
        <f>IF(L259=0,0,L259/K259)</f>
        <v>0.75215325482435225</v>
      </c>
      <c r="M260" s="979"/>
      <c r="N260" s="981" t="e">
        <f>N259/F259</f>
        <v>#DIV/0!</v>
      </c>
      <c r="O260" s="979"/>
      <c r="P260" s="980">
        <f>IF(O259=0,0,P259/O259)</f>
        <v>0</v>
      </c>
      <c r="Q260" s="255">
        <f>IF(Q259=0,0,Q259/P259)</f>
        <v>0</v>
      </c>
      <c r="R260" s="354"/>
      <c r="S260" s="255" t="e">
        <f>S259/Q259</f>
        <v>#DIV/0!</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3168</v>
      </c>
      <c r="K262" s="281">
        <f>-SUMIFS(BV_Data_An_Cour!$AN:$AN,BV_Data_An_Cour!$AS:$AS,"Oui",BV_Data_An_Cour!$AP:$AP,$B262,BV_Data_An_Cour!$AQ:$AQ,$C262)</f>
        <v>241082.17</v>
      </c>
      <c r="L262" s="266">
        <f>-SUMIFS(BV_Data_An_Cour!$AN:$AN,BV_Data_An_Cour!$AP:$AP,$B262,BV_Data_An_Cour!$AQ:$AQ,$C262,BV_Data_An_Cour!$AR:$AR,$L$2)</f>
        <v>53535.000000000007</v>
      </c>
      <c r="M262" s="282">
        <f>IF(E262=0,0,(K262-E262)/E262)</f>
        <v>0</v>
      </c>
      <c r="N262" s="266">
        <f>L262-F262</f>
        <v>53535.000000000007</v>
      </c>
      <c r="O262" s="245">
        <f>SUMIFS(BV_Data_An_Prec!$AX:$AX,BV_Data_An_Prec!$AP:$AP,$B262,BV_Data_An_Prec!$AQ:$AQ,$C262,BV_Data_An_Prec!$AY:$AY,O$2)</f>
        <v>0</v>
      </c>
      <c r="P262" s="281">
        <f>-SUMIFS(BV_Data_An_Prec!$AN:$AN,BV_Data_An_Prec!$AS:$AS,"Oui",BV_Data_An_Prec!$AP:$AP,$B262,BV_Data_An_Prec!$AQ:$AQ,$C262)</f>
        <v>0</v>
      </c>
      <c r="Q262" s="266">
        <f>-SUMIFS(BV_Data_An_Prec!$AN:$AN,BV_Data_An_Prec!$AP:$AP,$B262,BV_Data_An_Prec!$AQ:$AQ,$C262,BV_Data_An_Prec!$AR:$AR,$L$2)</f>
        <v>0</v>
      </c>
      <c r="R262" s="282">
        <f>IF(O262=0,0,J262/O262)</f>
        <v>0</v>
      </c>
      <c r="S262" s="266">
        <f>L262-Q262</f>
        <v>53535.000000000007</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0.2220612167212532</v>
      </c>
      <c r="M263" s="267"/>
      <c r="N263" s="266"/>
      <c r="O263" s="267"/>
      <c r="P263" s="325"/>
      <c r="Q263" s="332">
        <f>IF(Q262=0,0,Q262/P262)</f>
        <v>0</v>
      </c>
      <c r="R263" s="267"/>
      <c r="S263" s="332">
        <f>IF(Q262=0,0,(S262/Q262))</f>
        <v>0</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2350917.2199999997</v>
      </c>
      <c r="L268" s="271">
        <f t="shared" si="71"/>
        <v>1640454.2999999998</v>
      </c>
      <c r="M268" s="272" t="e">
        <f>L269-F269</f>
        <v>#DIV/0!</v>
      </c>
      <c r="N268" s="271">
        <f>L268-F268</f>
        <v>1640454.2999999998</v>
      </c>
      <c r="O268" s="272"/>
      <c r="P268" s="269">
        <f t="shared" ref="P268" si="72">P259+P262+P265</f>
        <v>0</v>
      </c>
      <c r="Q268" s="271">
        <f>Q259+Q262+Q265</f>
        <v>0</v>
      </c>
      <c r="R268" s="272" t="e">
        <f>L269-Q269</f>
        <v>#DIV/0!</v>
      </c>
      <c r="S268" s="271">
        <f>L268-Q268</f>
        <v>1640454.2999999998</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0.69779330639298309</v>
      </c>
      <c r="M269" s="276"/>
      <c r="N269" s="277" t="e">
        <f>N268/F268</f>
        <v>#DIV/0!</v>
      </c>
      <c r="O269" s="273"/>
      <c r="P269" s="947"/>
      <c r="Q269" s="326" t="e">
        <f>Q268/P268</f>
        <v>#DIV/0!</v>
      </c>
      <c r="R269" s="276"/>
      <c r="S269" s="326">
        <f>L268/S268</f>
        <v>1</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107093.99</v>
      </c>
      <c r="M272" s="243"/>
      <c r="N272" s="266">
        <f t="shared" ref="N272:N303" si="73">L272-F272</f>
        <v>107093.99</v>
      </c>
      <c r="O272" s="243"/>
      <c r="P272" s="38"/>
      <c r="Q272" s="266">
        <f>SUMIFS(BV_Data_An_Prec!$AN:$AN,BV_Data_An_Prec!$AP:$AP,$B272,BV_Data_An_Prec!$AQ:$AQ,$C272,BV_Data_An_Prec!$AR:$AR,$L$2)</f>
        <v>0</v>
      </c>
      <c r="R272" s="243"/>
      <c r="S272" s="266">
        <f t="shared" ref="S272:S303" si="74">L272-Q272</f>
        <v>107093.99</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260829.72</v>
      </c>
      <c r="M273" s="243"/>
      <c r="N273" s="266">
        <f t="shared" si="73"/>
        <v>260829.72</v>
      </c>
      <c r="O273" s="243"/>
      <c r="P273" s="38"/>
      <c r="Q273" s="266">
        <f>SUMIFS(BV_Data_An_Prec!$AN:$AN,BV_Data_An_Prec!$AP:$AP,$B273,BV_Data_An_Prec!$AQ:$AQ,$C273,BV_Data_An_Prec!$AR:$AR,$L$2)</f>
        <v>0</v>
      </c>
      <c r="R273" s="243"/>
      <c r="S273" s="266">
        <f t="shared" si="74"/>
        <v>260829.72</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261724.6</v>
      </c>
      <c r="M274" s="233"/>
      <c r="N274" s="303">
        <f t="shared" si="73"/>
        <v>261724.6</v>
      </c>
      <c r="O274" s="233"/>
      <c r="P274" s="301"/>
      <c r="Q274" s="303">
        <f>SUMIFS(BV_Data_An_Prec!$AN:$AN,BV_Data_An_Prec!$AP:$AP,$B274,BV_Data_An_Prec!$AQ:$AQ,$C274,BV_Data_An_Prec!$AR:$AR,$L$2)</f>
        <v>0</v>
      </c>
      <c r="R274" s="233"/>
      <c r="S274" s="303">
        <f t="shared" si="74"/>
        <v>261724.6</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159913.66</v>
      </c>
      <c r="M279" s="243"/>
      <c r="N279" s="266">
        <f t="shared" si="73"/>
        <v>159913.66</v>
      </c>
      <c r="O279" s="243"/>
      <c r="P279" s="38"/>
      <c r="Q279" s="266">
        <f>SUMIFS(BV_Data_An_Prec!$AN:$AN,BV_Data_An_Prec!$AP:$AP,$B279,BV_Data_An_Prec!$AQ:$AQ,$C279,BV_Data_An_Prec!$AR:$AR,$L$2)</f>
        <v>0</v>
      </c>
      <c r="R279" s="243"/>
      <c r="S279" s="266">
        <f t="shared" si="74"/>
        <v>159913.66</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174071.8</v>
      </c>
      <c r="M280" s="233"/>
      <c r="N280" s="303">
        <f t="shared" si="73"/>
        <v>174071.8</v>
      </c>
      <c r="O280" s="233"/>
      <c r="P280" s="301"/>
      <c r="Q280" s="303">
        <f>SUMIFS(BV_Data_An_Prec!$AN:$AN,BV_Data_An_Prec!$AP:$AP,$B280,BV_Data_An_Prec!$AQ:$AQ,$C280,BV_Data_An_Prec!$AR:$AR,$L$2)</f>
        <v>0</v>
      </c>
      <c r="R280" s="233"/>
      <c r="S280" s="303">
        <f t="shared" si="74"/>
        <v>174071.8</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104039.21</v>
      </c>
      <c r="M281" s="243"/>
      <c r="N281" s="266">
        <f t="shared" si="73"/>
        <v>104039.21</v>
      </c>
      <c r="O281" s="243"/>
      <c r="P281" s="38"/>
      <c r="Q281" s="266">
        <f>SUMIFS(BV_Data_An_Prec!$AN:$AN,BV_Data_An_Prec!$AP:$AP,$B281,BV_Data_An_Prec!$AQ:$AQ,$C281,BV_Data_An_Prec!$AR:$AR,$L$2)</f>
        <v>0</v>
      </c>
      <c r="R281" s="243"/>
      <c r="S281" s="266">
        <f t="shared" si="74"/>
        <v>104039.21</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10043.299999999999</v>
      </c>
      <c r="M282" s="243"/>
      <c r="N282" s="266">
        <f t="shared" si="73"/>
        <v>10043.299999999999</v>
      </c>
      <c r="O282" s="243"/>
      <c r="P282" s="38"/>
      <c r="Q282" s="266">
        <f>SUMIFS(BV_Data_An_Prec!$AN:$AN,BV_Data_An_Prec!$AP:$AP,$B282,BV_Data_An_Prec!$AQ:$AQ,$C282,BV_Data_An_Prec!$AR:$AR,$L$2)</f>
        <v>0</v>
      </c>
      <c r="R282" s="243"/>
      <c r="S282" s="266">
        <f t="shared" si="74"/>
        <v>10043.299999999999</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0.65696208666099398</v>
      </c>
      <c r="L284" s="294">
        <f>+SUM(L272:L283)</f>
        <v>1077716.28</v>
      </c>
      <c r="M284" s="296"/>
      <c r="N284" s="294">
        <f t="shared" si="73"/>
        <v>1077716.28</v>
      </c>
      <c r="O284" s="295" t="s">
        <v>171</v>
      </c>
      <c r="P284" s="293" t="e">
        <f>Q284/Q$268</f>
        <v>#DIV/0!</v>
      </c>
      <c r="Q284" s="294">
        <f>+SUM(Q272:Q283)</f>
        <v>0</v>
      </c>
      <c r="R284" s="297"/>
      <c r="S284" s="294">
        <f t="shared" si="74"/>
        <v>1077716.28</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19961.230000000003</v>
      </c>
      <c r="M285" s="243"/>
      <c r="N285" s="266">
        <f t="shared" si="73"/>
        <v>19961.230000000003</v>
      </c>
      <c r="O285" s="243"/>
      <c r="P285" s="38"/>
      <c r="Q285" s="266">
        <f>SUMIFS(BV_Data_An_Prec!$AN:$AN,BV_Data_An_Prec!$AP:$AP,$B285,BV_Data_An_Prec!$AQ:$AQ,$C285,BV_Data_An_Prec!$AR:$AR,$L$2)</f>
        <v>0</v>
      </c>
      <c r="R285" s="243"/>
      <c r="S285" s="266">
        <f t="shared" si="74"/>
        <v>19961.230000000003</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20506.57</v>
      </c>
      <c r="M286" s="243"/>
      <c r="N286" s="266">
        <f t="shared" si="73"/>
        <v>20506.57</v>
      </c>
      <c r="O286" s="243"/>
      <c r="P286" s="38"/>
      <c r="Q286" s="266">
        <f>SUMIFS(BV_Data_An_Prec!$AN:$AN,BV_Data_An_Prec!$AP:$AP,$B286,BV_Data_An_Prec!$AQ:$AQ,$C286,BV_Data_An_Prec!$AR:$AR,$L$2)</f>
        <v>0</v>
      </c>
      <c r="R286" s="243"/>
      <c r="S286" s="266">
        <f t="shared" si="74"/>
        <v>20506.57</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-50808.600000000006</v>
      </c>
      <c r="M287" s="238"/>
      <c r="N287" s="286">
        <f t="shared" si="73"/>
        <v>-50808.600000000006</v>
      </c>
      <c r="O287" s="238"/>
      <c r="P287" s="304"/>
      <c r="Q287" s="266">
        <f>SUMIFS(BV_Data_An_Prec!$AN:$AN,BV_Data_An_Prec!$AP:$AP,$B287,BV_Data_An_Prec!$AQ:$AQ,$C287,BV_Data_An_Prec!$AR:$AR,$L$2)</f>
        <v>0</v>
      </c>
      <c r="R287" s="238"/>
      <c r="S287" s="286">
        <f t="shared" si="74"/>
        <v>-50808.600000000006</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27285.45</v>
      </c>
      <c r="M288" s="243"/>
      <c r="N288" s="266">
        <f t="shared" si="73"/>
        <v>27285.45</v>
      </c>
      <c r="O288" s="243"/>
      <c r="P288" s="38"/>
      <c r="Q288" s="303">
        <f>SUMIFS(BV_Data_An_Prec!$AN:$AN,BV_Data_An_Prec!$AP:$AP,$B288,BV_Data_An_Prec!$AQ:$AQ,$C288,BV_Data_An_Prec!$AR:$AR,$L$2)</f>
        <v>0</v>
      </c>
      <c r="R288" s="243"/>
      <c r="S288" s="266">
        <f t="shared" si="74"/>
        <v>27285.45</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32963.4</v>
      </c>
      <c r="M289" s="243"/>
      <c r="N289" s="266">
        <f t="shared" si="73"/>
        <v>32963.4</v>
      </c>
      <c r="O289" s="243"/>
      <c r="P289" s="38"/>
      <c r="Q289" s="266">
        <f>SUMIFS(BV_Data_An_Prec!$AN:$AN,BV_Data_An_Prec!$AP:$AP,$B289,BV_Data_An_Prec!$AQ:$AQ,$C289,BV_Data_An_Prec!$AR:$AR,$L$2)</f>
        <v>0</v>
      </c>
      <c r="R289" s="243"/>
      <c r="S289" s="266">
        <f t="shared" si="74"/>
        <v>32963.4</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124647.66</v>
      </c>
      <c r="M290" s="238"/>
      <c r="N290" s="286">
        <f t="shared" si="73"/>
        <v>124647.66</v>
      </c>
      <c r="O290" s="238"/>
      <c r="P290" s="304"/>
      <c r="Q290" s="266">
        <f>SUMIFS(BV_Data_An_Prec!$AN:$AN,BV_Data_An_Prec!$AP:$AP,$B290,BV_Data_An_Prec!$AQ:$AQ,$C290,BV_Data_An_Prec!$AR:$AR,$L$2)</f>
        <v>0</v>
      </c>
      <c r="R290" s="238"/>
      <c r="S290" s="286">
        <f t="shared" si="74"/>
        <v>124647.66</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44834.05</v>
      </c>
      <c r="M292" s="243"/>
      <c r="N292" s="266">
        <f t="shared" si="73"/>
        <v>44834.05</v>
      </c>
      <c r="O292" s="243"/>
      <c r="P292" s="38"/>
      <c r="Q292" s="266">
        <f>SUMIFS(BV_Data_An_Prec!$AN:$AN,BV_Data_An_Prec!$AP:$AP,$B292,BV_Data_An_Prec!$AQ:$AQ,$C292,BV_Data_An_Prec!$AR:$AR,$L$2)</f>
        <v>0</v>
      </c>
      <c r="R292" s="243"/>
      <c r="S292" s="266">
        <f t="shared" si="74"/>
        <v>44834.05</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14098.72</v>
      </c>
      <c r="M294" s="243"/>
      <c r="N294" s="266">
        <f t="shared" si="73"/>
        <v>14098.72</v>
      </c>
      <c r="O294" s="243"/>
      <c r="P294" s="281"/>
      <c r="Q294" s="266">
        <f>SUMIFS(BV_Data_An_Prec!$AN:$AN,BV_Data_An_Prec!$AP:$AP,$B294,BV_Data_An_Prec!$AQ:$AQ,$C294,BV_Data_An_Prec!$AR:$AR,$L$2)</f>
        <v>0</v>
      </c>
      <c r="R294" s="243"/>
      <c r="S294" s="266">
        <f t="shared" si="74"/>
        <v>14098.72</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9962.01</v>
      </c>
      <c r="M295" s="243"/>
      <c r="N295" s="266">
        <f t="shared" si="73"/>
        <v>9962.01</v>
      </c>
      <c r="O295" s="243"/>
      <c r="P295" s="38"/>
      <c r="Q295" s="266">
        <f>SUMIFS(BV_Data_An_Prec!$AN:$AN,BV_Data_An_Prec!$AP:$AP,$B295,BV_Data_An_Prec!$AQ:$AQ,$C295,BV_Data_An_Prec!$AR:$AR,$L$2)</f>
        <v>0</v>
      </c>
      <c r="R295" s="243"/>
      <c r="S295" s="266">
        <f t="shared" si="74"/>
        <v>9962.01</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6443.17</v>
      </c>
      <c r="M296" s="243"/>
      <c r="N296" s="266">
        <f t="shared" si="73"/>
        <v>6443.17</v>
      </c>
      <c r="O296" s="243"/>
      <c r="P296" s="38"/>
      <c r="Q296" s="266">
        <f>SUMIFS(BV_Data_An_Prec!$AN:$AN,BV_Data_An_Prec!$AP:$AP,$B296,BV_Data_An_Prec!$AQ:$AQ,$C296,BV_Data_An_Prec!$AR:$AR,$L$2)</f>
        <v>0</v>
      </c>
      <c r="R296" s="243"/>
      <c r="S296" s="266">
        <f t="shared" si="74"/>
        <v>6443.17</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11798.880000000001</v>
      </c>
      <c r="M297" s="243"/>
      <c r="N297" s="266">
        <f t="shared" si="73"/>
        <v>11798.880000000001</v>
      </c>
      <c r="O297" s="243"/>
      <c r="P297" s="38"/>
      <c r="Q297" s="266">
        <f>SUMIFS(BV_Data_An_Prec!$AN:$AN,BV_Data_An_Prec!$AP:$AP,$B297,BV_Data_An_Prec!$AQ:$AQ,$C297,BV_Data_An_Prec!$AR:$AR,$L$2)</f>
        <v>0</v>
      </c>
      <c r="R297" s="243"/>
      <c r="S297" s="266">
        <f t="shared" si="74"/>
        <v>11798.880000000001</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27783.93</v>
      </c>
      <c r="M298" s="243"/>
      <c r="N298" s="266">
        <f t="shared" si="73"/>
        <v>27783.93</v>
      </c>
      <c r="O298" s="243"/>
      <c r="P298" s="38"/>
      <c r="Q298" s="266">
        <f>SUMIFS(BV_Data_An_Prec!$AN:$AN,BV_Data_An_Prec!$AP:$AP,$B298,BV_Data_An_Prec!$AQ:$AQ,$C298,BV_Data_An_Prec!$AR:$AR,$L$2)</f>
        <v>0</v>
      </c>
      <c r="R298" s="243"/>
      <c r="S298" s="266">
        <f t="shared" si="74"/>
        <v>27783.93</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3666.95</v>
      </c>
      <c r="M299" s="243"/>
      <c r="N299" s="266">
        <f t="shared" si="73"/>
        <v>3666.95</v>
      </c>
      <c r="O299" s="243"/>
      <c r="P299" s="38"/>
      <c r="Q299" s="266">
        <f>SUMIFS(BV_Data_An_Prec!$AN:$AN,BV_Data_An_Prec!$AP:$AP,$B299,BV_Data_An_Prec!$AQ:$AQ,$C299,BV_Data_An_Prec!$AR:$AR,Q$2)</f>
        <v>0</v>
      </c>
      <c r="R299" s="243"/>
      <c r="S299" s="266">
        <f t="shared" si="74"/>
        <v>3666.95</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0.17869648669883706</v>
      </c>
      <c r="L303" s="294">
        <f>+SUM(L285:L302)</f>
        <v>293143.42000000004</v>
      </c>
      <c r="M303" s="296"/>
      <c r="N303" s="294">
        <f t="shared" si="73"/>
        <v>293143.42000000004</v>
      </c>
      <c r="O303" s="295" t="s">
        <v>171</v>
      </c>
      <c r="P303" s="293" t="e">
        <f>Q303/Q$268</f>
        <v>#DIV/0!</v>
      </c>
      <c r="Q303" s="294">
        <f>+SUM(Q285:Q302)</f>
        <v>0</v>
      </c>
      <c r="R303" s="297"/>
      <c r="S303" s="294">
        <f t="shared" si="74"/>
        <v>293143.42000000004</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0.83565857335983107</v>
      </c>
      <c r="L305" s="294">
        <f>L284+L303</f>
        <v>1370859.7000000002</v>
      </c>
      <c r="M305" s="296"/>
      <c r="N305" s="294">
        <f>L305-F305</f>
        <v>1370859.7000000002</v>
      </c>
      <c r="O305" s="295" t="s">
        <v>115</v>
      </c>
      <c r="P305" s="293" t="e">
        <f>Q305/Q$268</f>
        <v>#DIV/0!</v>
      </c>
      <c r="Q305" s="294">
        <f>Q284+Q303</f>
        <v>0</v>
      </c>
      <c r="R305" s="297"/>
      <c r="S305" s="294">
        <f>L305-Q305</f>
        <v>1370859.7000000002</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269594.59999999963</v>
      </c>
      <c r="M307" s="960"/>
      <c r="N307" s="958">
        <f>L307-F307</f>
        <v>269594.59999999963</v>
      </c>
      <c r="O307" s="959"/>
      <c r="P307" s="957"/>
      <c r="Q307" s="958">
        <f>Q268-Q305</f>
        <v>0</v>
      </c>
      <c r="R307" s="961"/>
      <c r="S307" s="958">
        <f>L307-Q307</f>
        <v>269594.59999999963</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Octobre 2025</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5"/>
      <c r="F312" s="1066"/>
      <c r="G312" s="1069"/>
      <c r="H312" s="1065"/>
      <c r="I312" s="1066"/>
      <c r="J312" s="1069" t="s">
        <v>340</v>
      </c>
      <c r="K312" s="1065"/>
      <c r="L312" s="1066"/>
      <c r="M312" s="1069" t="s">
        <v>668</v>
      </c>
      <c r="N312" s="1066"/>
      <c r="O312" s="1064" t="s">
        <v>341</v>
      </c>
      <c r="P312" s="1065"/>
      <c r="Q312" s="1066"/>
      <c r="R312" s="1067" t="s">
        <v>670</v>
      </c>
      <c r="S312" s="1068"/>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1509496.0599999998</v>
      </c>
      <c r="L315" s="266">
        <f>-SUMIFS(BV_Data_An_Cour!$AN:$AN,BV_Data_An_Cour!$AP:$AP,$B315,BV_Data_An_Cour!$AQ:$AQ,$C315,BV_Data_An_Cour!$AR:$AR,$L$2)</f>
        <v>570531.63999999978</v>
      </c>
      <c r="M315" s="282">
        <f>IFERROR((K315-E315)/E315,0)</f>
        <v>0</v>
      </c>
      <c r="N315" s="266">
        <f>L315-F315</f>
        <v>570531.63999999978</v>
      </c>
      <c r="O315" s="267"/>
      <c r="P315" s="281">
        <f>-SUMIFS(BV_Data_An_Prec!$AN:$AN,BV_Data_An_Prec!$AS:$AS,"Oui",BV_Data_An_Prec!$AP:$AP,$B315,BV_Data_An_Prec!$AQ:$AQ,$C315)</f>
        <v>0</v>
      </c>
      <c r="Q315" s="266">
        <f>-SUMIFS(BV_Data_An_Prec!$AN:$AN,BV_Data_An_Prec!$AP:$AP,$B315,BV_Data_An_Prec!$AQ:$AQ,$C315,BV_Data_An_Prec!$AR:$AR,$L$2)</f>
        <v>0</v>
      </c>
      <c r="R315" s="282">
        <f>IF(O315=0,0,J315/O315)</f>
        <v>0</v>
      </c>
      <c r="S315" s="266">
        <f>L315-Q315</f>
        <v>570531.63999999978</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0.3779616622517053</v>
      </c>
      <c r="M316" s="282"/>
      <c r="N316" s="266">
        <f>IFERROR(N315/M315,0)</f>
        <v>0</v>
      </c>
      <c r="O316" s="267"/>
      <c r="P316" s="38"/>
      <c r="Q316" s="332">
        <f>IFERROR(Q315/P315,0)</f>
        <v>0</v>
      </c>
      <c r="R316" s="267"/>
      <c r="S316" s="332">
        <f>IF(Q315=0,0,(S315/Q315))</f>
        <v>0</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48187.670000000006</v>
      </c>
      <c r="L318" s="303">
        <f>-SUMIFS(BV_Data_An_Cour!$AN:$AN,BV_Data_An_Cour!$AP:$AP,$B318,BV_Data_An_Cour!$AQ:$AQ,$C318,BV_Data_An_Cour!$AR:$AR,$L$2)</f>
        <v>35137.460000000006</v>
      </c>
      <c r="M318" s="340">
        <f>IFERROR((K318-E318)/E318,0)</f>
        <v>0</v>
      </c>
      <c r="N318" s="303">
        <f>L318-F318</f>
        <v>35137.460000000006</v>
      </c>
      <c r="O318" s="337"/>
      <c r="P318" s="336">
        <f>-SUMIFS(BV_Data_An_Prec!$AN:$AN,BV_Data_An_Prec!$AS:$AS,"Oui",BV_Data_An_Prec!$AP:$AP,$B318,BV_Data_An_Prec!$AQ:$AQ,$C318)</f>
        <v>0</v>
      </c>
      <c r="Q318" s="303">
        <f>-SUMIFS(BV_Data_An_Prec!$AN:$AN,BV_Data_An_Prec!$AP:$AP,$B318,BV_Data_An_Prec!$AQ:$AQ,$C318,BV_Data_An_Prec!$AR:$AR,$L$2)</f>
        <v>0</v>
      </c>
      <c r="R318" s="282">
        <f>IF(O318=0,0,J318/O318)</f>
        <v>0</v>
      </c>
      <c r="S318" s="266">
        <f>L318-Q318</f>
        <v>35137.460000000006</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0.72917947682467321</v>
      </c>
      <c r="M319" s="282"/>
      <c r="N319" s="266">
        <f>IFERROR(N318/F318,0)</f>
        <v>0</v>
      </c>
      <c r="O319" s="267"/>
      <c r="P319" s="38"/>
      <c r="Q319" s="332">
        <f>IFERROR(Q318/P318,0)</f>
        <v>0</v>
      </c>
      <c r="R319" s="267"/>
      <c r="S319" s="332">
        <f>IF(Q318=0,0,(S318/Q318))</f>
        <v>0</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13289.56</v>
      </c>
      <c r="M324" s="928"/>
      <c r="N324" s="929"/>
      <c r="O324" s="681"/>
      <c r="P324" s="38"/>
      <c r="Q324" s="266">
        <f>-SUMIFS(BV_Data_An_Prec!$AN:$AN,BV_Data_An_Prec!$AP:$AP,$B324,BV_Data_An_Prec!$AQ:$AQ,$C324,BV_Data_An_Prec!$AR:$AR,$L$2)</f>
        <v>0</v>
      </c>
      <c r="R324" s="282">
        <f>IF(O324=0,0,J324/O324)</f>
        <v>0</v>
      </c>
      <c r="S324" s="266">
        <f>L324-Q324</f>
        <v>13289.56</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3103</v>
      </c>
      <c r="D326" s="269"/>
      <c r="E326" s="270">
        <f t="shared" ref="E326:F326" si="76">E318+E321+E315</f>
        <v>0</v>
      </c>
      <c r="F326" s="271">
        <f t="shared" si="76"/>
        <v>0</v>
      </c>
      <c r="G326" s="272"/>
      <c r="H326" s="270"/>
      <c r="I326" s="271"/>
      <c r="J326" s="272"/>
      <c r="K326" s="269">
        <f t="shared" ref="K326" si="77">K318+K321+K315</f>
        <v>1557683.7299999997</v>
      </c>
      <c r="L326" s="271">
        <f>L318+L321+L315+L324</f>
        <v>618958.6599999998</v>
      </c>
      <c r="M326" s="272" t="e">
        <f>L327-F327</f>
        <v>#DIV/0!</v>
      </c>
      <c r="N326" s="271">
        <f>L326-F326</f>
        <v>618958.6599999998</v>
      </c>
      <c r="O326" s="272"/>
      <c r="P326" s="269">
        <f t="shared" ref="P326" si="78">P318+P321+P315</f>
        <v>0</v>
      </c>
      <c r="Q326" s="271">
        <f>Q318+Q321+Q315+Q324</f>
        <v>0</v>
      </c>
      <c r="R326" s="272"/>
      <c r="S326" s="271">
        <f>L326-Q326</f>
        <v>618958.6599999998</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t="e">
        <f>S326/Q326</f>
        <v>#DIV/0!</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111090.69</v>
      </c>
      <c r="M330" s="243"/>
      <c r="N330" s="266">
        <f t="shared" ref="N330:N360" si="79">L330-F330</f>
        <v>111090.69</v>
      </c>
      <c r="O330" s="243"/>
      <c r="P330" s="38"/>
      <c r="Q330" s="266" cm="1">
        <f t="array" ref="Q330">+SUMPRODUCT(('Réel 2024'!$A$8:$A$501=$A330)*('Réel 2024'!$C$3:$AO$3=Q$2),'Réel 2024'!$C$8:$AO$501)</f>
        <v>0</v>
      </c>
      <c r="R330" s="243"/>
      <c r="S330" s="266">
        <f t="shared" ref="S330:S361" si="80">L330-Q330</f>
        <v>111090.69</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72602.23</v>
      </c>
      <c r="M331" s="243"/>
      <c r="N331" s="266">
        <f t="shared" si="79"/>
        <v>72602.23</v>
      </c>
      <c r="O331" s="243"/>
      <c r="P331" s="38"/>
      <c r="Q331" s="266" cm="1">
        <f t="array" ref="Q331">+SUMPRODUCT(('Réel 2024'!$A$8:$A$501=$A331)*('Réel 2024'!$C$3:$AO$3=Q$2),'Réel 2024'!$C$8:$AO$501)</f>
        <v>0</v>
      </c>
      <c r="R331" s="243"/>
      <c r="S331" s="266">
        <f t="shared" si="80"/>
        <v>72602.23</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76</v>
      </c>
      <c r="M332" s="233"/>
      <c r="N332" s="303">
        <f t="shared" si="79"/>
        <v>76</v>
      </c>
      <c r="O332" s="233"/>
      <c r="P332" s="301"/>
      <c r="Q332" s="303" cm="1">
        <f t="array" ref="Q332">+SUMPRODUCT(('Réel 2024'!$A$8:$A$501=$A332)*('Réel 2024'!$C$3:$AO$3=Q$2),'Réel 2024'!$C$8:$AO$501)</f>
        <v>0</v>
      </c>
      <c r="R332" s="233"/>
      <c r="S332" s="303">
        <f t="shared" si="80"/>
        <v>76</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34994.65</v>
      </c>
      <c r="M337" s="243"/>
      <c r="N337" s="266">
        <f t="shared" si="79"/>
        <v>34994.65</v>
      </c>
      <c r="O337" s="243"/>
      <c r="P337" s="38"/>
      <c r="Q337" s="266" cm="1">
        <f t="array" ref="Q337">+SUMPRODUCT(('Réel 2024'!$A$8:$A$501=$A337)*('Réel 2024'!$C$3:$AO$3=Q$2),'Réel 2024'!$C$8:$AO$501)</f>
        <v>0</v>
      </c>
      <c r="R337" s="243"/>
      <c r="S337" s="266">
        <f t="shared" si="80"/>
        <v>34994.65</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43992.62</v>
      </c>
      <c r="M338" s="233"/>
      <c r="N338" s="303">
        <f t="shared" si="79"/>
        <v>43992.62</v>
      </c>
      <c r="O338" s="233"/>
      <c r="P338" s="301"/>
      <c r="Q338" s="303" cm="1">
        <f t="array" ref="Q338">+SUMPRODUCT(('Réel 2024'!$A$8:$A$501=$A338)*('Réel 2024'!$C$3:$AO$3=Q$2),'Réel 2024'!$C$8:$AO$501)</f>
        <v>0</v>
      </c>
      <c r="R338" s="233"/>
      <c r="S338" s="303">
        <f t="shared" si="80"/>
        <v>43992.62</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25772.43</v>
      </c>
      <c r="M339" s="243"/>
      <c r="N339" s="266">
        <f t="shared" si="79"/>
        <v>25772.43</v>
      </c>
      <c r="O339" s="243"/>
      <c r="P339" s="38"/>
      <c r="Q339" s="266" cm="1">
        <f t="array" ref="Q339">+SUMPRODUCT(('Réel 2024'!$A$8:$A$501=$A339)*('Réel 2024'!$C$3:$AO$3=Q$2),'Réel 2024'!$C$8:$AO$501)</f>
        <v>0</v>
      </c>
      <c r="R339" s="243"/>
      <c r="S339" s="266">
        <f t="shared" si="80"/>
        <v>25772.43</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387.47</v>
      </c>
      <c r="M340" s="243"/>
      <c r="N340" s="266">
        <f t="shared" si="79"/>
        <v>387.47</v>
      </c>
      <c r="O340" s="243"/>
      <c r="P340" s="38"/>
      <c r="Q340" s="266" cm="1">
        <f t="array" ref="Q340">+SUMPRODUCT(('Réel 2024'!$A$8:$A$501=$A340)*('Réel 2024'!$C$3:$AO$3=Q$2),'Réel 2024'!$C$8:$AO$501)</f>
        <v>0</v>
      </c>
      <c r="R340" s="243"/>
      <c r="S340" s="266">
        <f t="shared" si="80"/>
        <v>387.47</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8.2224523343463041</v>
      </c>
      <c r="L342" s="294">
        <f>+SUM(L330:L341)</f>
        <v>288916.08999999997</v>
      </c>
      <c r="M342" s="296"/>
      <c r="N342" s="294">
        <f t="shared" si="79"/>
        <v>288916.08999999997</v>
      </c>
      <c r="O342" s="295" t="s">
        <v>115</v>
      </c>
      <c r="P342" s="293" t="e">
        <f>Q342/Q$318</f>
        <v>#DIV/0!</v>
      </c>
      <c r="Q342" s="294">
        <f>+SUM(Q330:Q341)</f>
        <v>0</v>
      </c>
      <c r="R342" s="297"/>
      <c r="S342" s="294">
        <f t="shared" si="80"/>
        <v>288916.08999999997</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6521.84</v>
      </c>
      <c r="M343" s="243"/>
      <c r="N343" s="266">
        <f t="shared" si="79"/>
        <v>6521.84</v>
      </c>
      <c r="O343" s="243"/>
      <c r="P343" s="38"/>
      <c r="Q343" s="266" cm="1">
        <f t="array" ref="Q343">+SUMPRODUCT(('Réel 2024'!$A$8:$A$501=$A343)*('Réel 2024'!$C$3:$AO$3=Q$2),'Réel 2024'!$C$8:$AO$501)</f>
        <v>0</v>
      </c>
      <c r="R343" s="243"/>
      <c r="S343" s="266">
        <f t="shared" si="80"/>
        <v>6521.84</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13817.86</v>
      </c>
      <c r="M344" s="243"/>
      <c r="N344" s="266">
        <f t="shared" si="79"/>
        <v>13817.86</v>
      </c>
      <c r="O344" s="243"/>
      <c r="P344" s="38"/>
      <c r="Q344" s="266" cm="1">
        <f t="array" ref="Q344">+SUMPRODUCT(('Réel 2024'!$A$8:$A$501=$A344)*('Réel 2024'!$C$3:$AO$3=Q$2),'Réel 2024'!$C$8:$AO$501)</f>
        <v>0</v>
      </c>
      <c r="R344" s="243"/>
      <c r="S344" s="266">
        <f t="shared" si="80"/>
        <v>13817.86</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-1051.1100000000006</v>
      </c>
      <c r="M345" s="238"/>
      <c r="N345" s="286">
        <f t="shared" si="79"/>
        <v>-1051.1100000000006</v>
      </c>
      <c r="O345" s="238"/>
      <c r="P345" s="304"/>
      <c r="Q345" s="266" cm="1">
        <f t="array" ref="Q345">+SUMPRODUCT(('Réel 2024'!$A$8:$A$501=$A345)*('Réel 2024'!$C$3:$AO$3=Q$2),'Réel 2024'!$C$8:$AO$501)</f>
        <v>0</v>
      </c>
      <c r="R345" s="238"/>
      <c r="S345" s="286">
        <f t="shared" si="80"/>
        <v>-1051.1100000000006</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17658.47</v>
      </c>
      <c r="M346" s="243"/>
      <c r="N346" s="266">
        <f t="shared" si="79"/>
        <v>17658.47</v>
      </c>
      <c r="O346" s="243"/>
      <c r="P346" s="38"/>
      <c r="Q346" s="303" cm="1">
        <f t="array" ref="Q346">+SUMPRODUCT(('Réel 2024'!$A$8:$A$501=$A346)*('Réel 2024'!$C$3:$AO$3=Q$2),'Réel 2024'!$C$8:$AO$501)</f>
        <v>0</v>
      </c>
      <c r="R346" s="243"/>
      <c r="S346" s="266">
        <f t="shared" si="80"/>
        <v>17658.47</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10628.15</v>
      </c>
      <c r="M347" s="243"/>
      <c r="N347" s="266">
        <f t="shared" si="79"/>
        <v>10628.15</v>
      </c>
      <c r="O347" s="243"/>
      <c r="P347" s="38"/>
      <c r="Q347" s="266" cm="1">
        <f t="array" ref="Q347">+SUMPRODUCT(('Réel 2024'!$A$8:$A$501=$A347)*('Réel 2024'!$C$3:$AO$3=Q$2),'Réel 2024'!$C$8:$AO$501)</f>
        <v>0</v>
      </c>
      <c r="R347" s="243"/>
      <c r="S347" s="266">
        <f t="shared" si="80"/>
        <v>10628.15</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48238.979999999996</v>
      </c>
      <c r="M348" s="238"/>
      <c r="N348" s="286">
        <f t="shared" si="79"/>
        <v>48238.979999999996</v>
      </c>
      <c r="O348" s="238"/>
      <c r="P348" s="304"/>
      <c r="Q348" s="266" cm="1">
        <f t="array" ref="Q348">+SUMPRODUCT(('Réel 2024'!$A$8:$A$501=$A348)*('Réel 2024'!$C$3:$AO$3=Q$2),'Réel 2024'!$C$8:$AO$501)</f>
        <v>0</v>
      </c>
      <c r="R348" s="238"/>
      <c r="S348" s="286">
        <f t="shared" si="80"/>
        <v>48238.979999999996</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5367.39</v>
      </c>
      <c r="M352" s="243"/>
      <c r="N352" s="266">
        <f t="shared" si="79"/>
        <v>5367.39</v>
      </c>
      <c r="O352" s="243"/>
      <c r="P352" s="38"/>
      <c r="Q352" s="266" cm="1">
        <f t="array" ref="Q352">+SUMPRODUCT(('Réel 2024'!$A$8:$A$501=$A352)*('Réel 2024'!$C$3:$AO$3=Q$2),'Réel 2024'!$C$8:$AO$501)</f>
        <v>0</v>
      </c>
      <c r="R352" s="243"/>
      <c r="S352" s="266">
        <f t="shared" si="80"/>
        <v>5367.39</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2953.22</v>
      </c>
      <c r="M353" s="243"/>
      <c r="N353" s="266">
        <f t="shared" si="79"/>
        <v>2953.22</v>
      </c>
      <c r="O353" s="243"/>
      <c r="P353" s="38"/>
      <c r="Q353" s="266" cm="1">
        <f t="array" ref="Q353">+SUMPRODUCT(('Réel 2024'!$A$8:$A$501=$A353)*('Réel 2024'!$C$3:$AO$3=Q$2),'Réel 2024'!$C$8:$AO$501)</f>
        <v>0</v>
      </c>
      <c r="R353" s="243"/>
      <c r="S353" s="266">
        <f t="shared" si="80"/>
        <v>2953.22</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2363.4699999999998</v>
      </c>
      <c r="M354" s="243"/>
      <c r="N354" s="266">
        <f t="shared" si="79"/>
        <v>2363.4699999999998</v>
      </c>
      <c r="O354" s="243"/>
      <c r="P354" s="38"/>
      <c r="Q354" s="266" cm="1">
        <f t="array" ref="Q354">+SUMPRODUCT(('Réel 2024'!$A$8:$A$501=$A354)*('Réel 2024'!$C$3:$AO$3=Q$2),'Réel 2024'!$C$8:$AO$501)</f>
        <v>0</v>
      </c>
      <c r="R354" s="243"/>
      <c r="S354" s="266">
        <f t="shared" si="80"/>
        <v>2363.4699999999998</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13764.16</v>
      </c>
      <c r="M355" s="243"/>
      <c r="N355" s="266">
        <f t="shared" si="79"/>
        <v>13764.16</v>
      </c>
      <c r="O355" s="243"/>
      <c r="P355" s="38"/>
      <c r="Q355" s="266" cm="1">
        <f t="array" ref="Q355">+SUMPRODUCT(('Réel 2024'!$A$8:$A$501=$A355)*('Réel 2024'!$C$3:$AO$3=Q$2),'Réel 2024'!$C$8:$AO$501)</f>
        <v>0</v>
      </c>
      <c r="R355" s="243"/>
      <c r="S355" s="266">
        <f t="shared" si="80"/>
        <v>13764.16</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3159.35</v>
      </c>
      <c r="M356" s="243"/>
      <c r="N356" s="266">
        <f t="shared" si="79"/>
        <v>3159.35</v>
      </c>
      <c r="O356" s="243"/>
      <c r="P356" s="38"/>
      <c r="Q356" s="266" cm="1">
        <f t="array" ref="Q356">+SUMPRODUCT(('Réel 2024'!$A$8:$A$501=$A356)*('Réel 2024'!$C$3:$AO$3=Q$2),'Réel 2024'!$C$8:$AO$501)</f>
        <v>0</v>
      </c>
      <c r="R356" s="243"/>
      <c r="S356" s="266">
        <f t="shared" si="80"/>
        <v>3159.35</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1154.1600000000001</v>
      </c>
      <c r="M357" s="243"/>
      <c r="N357" s="266">
        <f t="shared" si="79"/>
        <v>1154.1600000000001</v>
      </c>
      <c r="O357" s="243"/>
      <c r="P357" s="38"/>
      <c r="Q357" s="266" cm="1">
        <f t="array" ref="Q357">+SUMPRODUCT(('Réel 2024'!$A$8:$A$501=$A357)*('Réel 2024'!$C$3:$AO$3=Q$2),'Réel 2024'!$C$8:$AO$501)</f>
        <v>0</v>
      </c>
      <c r="R357" s="243"/>
      <c r="S357" s="266">
        <f t="shared" si="80"/>
        <v>1154.1600000000001</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3148</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0.21835062469103389</v>
      </c>
      <c r="L361" s="294">
        <f>+SUM(L343:L360)</f>
        <v>124575.94000000002</v>
      </c>
      <c r="M361" s="296"/>
      <c r="N361" s="294">
        <f>+SUM(N343:N360)</f>
        <v>124575.94000000002</v>
      </c>
      <c r="O361" s="295" t="s">
        <v>115</v>
      </c>
      <c r="P361" s="293">
        <f>IF(Q326=0,0,Q361/Q$326)</f>
        <v>0</v>
      </c>
      <c r="Q361" s="294">
        <f>+SUM(Q343:Q360)</f>
        <v>0</v>
      </c>
      <c r="R361" s="297"/>
      <c r="S361" s="294">
        <f t="shared" si="80"/>
        <v>124575.94000000002</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11.767840646421224</v>
      </c>
      <c r="L363" s="294">
        <f>L342+L361</f>
        <v>413492.02999999997</v>
      </c>
      <c r="M363" s="296"/>
      <c r="N363" s="294">
        <f>L363-F363</f>
        <v>413492.02999999997</v>
      </c>
      <c r="O363" s="295" t="s">
        <v>115</v>
      </c>
      <c r="P363" s="293" t="e">
        <f>Q363/Q$326</f>
        <v>#DIV/0!</v>
      </c>
      <c r="Q363" s="294">
        <f>Q342+Q361</f>
        <v>0</v>
      </c>
      <c r="R363" s="297"/>
      <c r="S363" s="294">
        <f>L363-Q363</f>
        <v>413492.02999999997</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205466.62999999983</v>
      </c>
      <c r="M365" s="960"/>
      <c r="N365" s="958">
        <f>L365-F365</f>
        <v>205466.62999999983</v>
      </c>
      <c r="O365" s="959"/>
      <c r="P365" s="957"/>
      <c r="Q365" s="958">
        <f>Q326-Q363</f>
        <v>0</v>
      </c>
      <c r="R365" s="961"/>
      <c r="S365" s="958">
        <f>L365-Q365</f>
        <v>205466.62999999983</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Octobre 2025</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5"/>
      <c r="F369" s="1066"/>
      <c r="G369" s="1069"/>
      <c r="H369" s="1065"/>
      <c r="I369" s="1066"/>
      <c r="J369" s="1069" t="s">
        <v>340</v>
      </c>
      <c r="K369" s="1065"/>
      <c r="L369" s="1066"/>
      <c r="M369" s="1069" t="s">
        <v>668</v>
      </c>
      <c r="N369" s="1066"/>
      <c r="O369" s="1064" t="s">
        <v>341</v>
      </c>
      <c r="P369" s="1065"/>
      <c r="Q369" s="1066"/>
      <c r="R369" s="1067" t="s">
        <v>670</v>
      </c>
      <c r="S369" s="1068"/>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593994.91</v>
      </c>
      <c r="K371" s="327">
        <f t="shared" ref="K371:K380" si="83">IF(J371&lt;=0,0,L371/J371)</f>
        <v>0.37145215604625309</v>
      </c>
      <c r="L371" s="266">
        <f>-SUMIFS(BV_Data_An_Cour!$AN:$AN,BV_Data_An_Cour!$AP:$AP,$B371,BV_Data_An_Cour!$AQ:$AQ,$C371,BV_Data_An_Cour!$AR:$AR,$L$2)</f>
        <v>220640.69000000006</v>
      </c>
      <c r="M371" s="282" t="e">
        <f t="shared" ref="M371:M377" si="84">(+J371-D371)/D371</f>
        <v>#DIV/0!</v>
      </c>
      <c r="N371" s="266">
        <f t="shared" ref="N371:N380" si="85">L371-F371</f>
        <v>220640.69000000006</v>
      </c>
      <c r="O371" s="281">
        <f>-SUMIFS(BV_Data_An_Prec!$AN:$AN,BV_Data_An_Prec!$AS:$AS,"Oui",BV_Data_An_Prec!$AP:$AP,$B371,BV_Data_An_Prec!$AQ:$AQ,$C371)</f>
        <v>0</v>
      </c>
      <c r="P371" s="327">
        <f t="shared" ref="P371:P380" si="86">IF(O371&lt;=0,0,Q371/O371)</f>
        <v>0</v>
      </c>
      <c r="Q371" s="266">
        <f>-SUMIFS(BV_Data_An_Prec!$AN:$AN,BV_Data_An_Prec!$AP:$AP,$B371,BV_Data_An_Prec!$AQ:$AQ,$C371,BV_Data_An_Prec!$AR:$AR,$L$2)</f>
        <v>0</v>
      </c>
      <c r="R371" s="282">
        <f t="shared" ref="R371:R380" si="87">IF(O371=0,0,(J371-O371)/O371)</f>
        <v>0</v>
      </c>
      <c r="S371" s="266">
        <f t="shared" ref="S371:S380" si="88">L371-Q371</f>
        <v>220640.69000000006</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380.2</v>
      </c>
      <c r="K372" s="327">
        <f t="shared" si="83"/>
        <v>-0.45541820094687019</v>
      </c>
      <c r="L372" s="266">
        <f>-SUMIFS(BV_Data_An_Cour!$AN:$AN,BV_Data_An_Cour!$AP:$AP,$B372,BV_Data_An_Cour!$AQ:$AQ,$C372,BV_Data_An_Cour!$AR:$AR,$L$2)</f>
        <v>-173.15000000000003</v>
      </c>
      <c r="M372" s="282" t="e">
        <f t="shared" si="84"/>
        <v>#DIV/0!</v>
      </c>
      <c r="N372" s="266">
        <f t="shared" si="85"/>
        <v>-173.15000000000003</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-173.15000000000003</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550663.39</v>
      </c>
      <c r="K373" s="327">
        <f t="shared" si="83"/>
        <v>0.27796367577659381</v>
      </c>
      <c r="L373" s="266">
        <f>-SUMIFS(BV_Data_An_Cour!$AN:$AN,BV_Data_An_Cour!$AP:$AP,$B373,BV_Data_An_Cour!$AQ:$AQ,$C373,BV_Data_An_Cour!$AR:$AR,$L$2)</f>
        <v>153064.42000000004</v>
      </c>
      <c r="M373" s="282" t="e">
        <f t="shared" si="84"/>
        <v>#DIV/0!</v>
      </c>
      <c r="N373" s="266">
        <f t="shared" si="85"/>
        <v>153064.42000000004</v>
      </c>
      <c r="O373" s="281">
        <f>-SUMIFS(BV_Data_An_Prec!$AN:$AN,BV_Data_An_Prec!$AS:$AS,"Oui",BV_Data_An_Prec!$AP:$AP,$B373,BV_Data_An_Prec!$AQ:$AQ,$C373)</f>
        <v>0</v>
      </c>
      <c r="P373" s="327">
        <f t="shared" si="86"/>
        <v>0</v>
      </c>
      <c r="Q373" s="266">
        <f>-SUMIFS(BV_Data_An_Prec!$AN:$AN,BV_Data_An_Prec!$AP:$AP,$B373,BV_Data_An_Prec!$AQ:$AQ,$C373,BV_Data_An_Prec!$AR:$AR,$L$2)</f>
        <v>0</v>
      </c>
      <c r="R373" s="282">
        <f t="shared" si="87"/>
        <v>0</v>
      </c>
      <c r="S373" s="266">
        <f t="shared" si="88"/>
        <v>153064.42000000004</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603735.04000000004</v>
      </c>
      <c r="K374" s="327">
        <f t="shared" si="83"/>
        <v>0.29147142097301493</v>
      </c>
      <c r="L374" s="266">
        <f>-SUMIFS(BV_Data_An_Cour!$AN:$AN,BV_Data_An_Cour!$AP:$AP,$B374,BV_Data_An_Cour!$AQ:$AQ,$C374,BV_Data_An_Cour!$AR:$AR,$L$2)</f>
        <v>175971.51</v>
      </c>
      <c r="M374" s="282" t="e">
        <f t="shared" si="84"/>
        <v>#DIV/0!</v>
      </c>
      <c r="N374" s="266">
        <f t="shared" si="85"/>
        <v>175971.51</v>
      </c>
      <c r="O374" s="281">
        <f>-SUMIFS(BV_Data_An_Prec!$AN:$AN,BV_Data_An_Prec!$AS:$AS,"Oui",BV_Data_An_Prec!$AP:$AP,$B374,BV_Data_An_Prec!$AQ:$AQ,$C374)</f>
        <v>0</v>
      </c>
      <c r="P374" s="327">
        <f t="shared" si="86"/>
        <v>0</v>
      </c>
      <c r="Q374" s="266">
        <f>-SUMIFS(BV_Data_An_Prec!$AN:$AN,BV_Data_An_Prec!$AP:$AP,$B374,BV_Data_An_Prec!$AQ:$AQ,$C374,BV_Data_An_Prec!$AR:$AR,$L$2)</f>
        <v>0</v>
      </c>
      <c r="R374" s="282">
        <f t="shared" si="87"/>
        <v>0</v>
      </c>
      <c r="S374" s="266">
        <f t="shared" si="88"/>
        <v>175971.51</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301635.98</v>
      </c>
      <c r="K375" s="327">
        <f t="shared" si="83"/>
        <v>0.21901017909070392</v>
      </c>
      <c r="L375" s="266">
        <f>-SUMIFS(BV_Data_An_Cour!$AN:$AN,BV_Data_An_Cour!$AP:$AP,$B375,BV_Data_An_Cour!$AQ:$AQ,$C375,BV_Data_An_Cour!$AR:$AR,$L$2)</f>
        <v>66061.349999999977</v>
      </c>
      <c r="M375" s="282" t="e">
        <f t="shared" si="84"/>
        <v>#DIV/0!</v>
      </c>
      <c r="N375" s="266">
        <f t="shared" si="85"/>
        <v>66061.349999999977</v>
      </c>
      <c r="O375" s="281">
        <f>-SUMIFS(BV_Data_An_Prec!$AN:$AN,BV_Data_An_Prec!$AS:$AS,"Oui",BV_Data_An_Prec!$AP:$AP,$B375,BV_Data_An_Prec!$AQ:$AQ,$C375)</f>
        <v>0</v>
      </c>
      <c r="P375" s="327">
        <f t="shared" si="86"/>
        <v>0</v>
      </c>
      <c r="Q375" s="266">
        <f>-SUMIFS(BV_Data_An_Prec!$AN:$AN,BV_Data_An_Prec!$AP:$AP,$B375,BV_Data_An_Prec!$AQ:$AQ,$C375,BV_Data_An_Prec!$AR:$AR,$L$2)</f>
        <v>0</v>
      </c>
      <c r="R375" s="282">
        <f t="shared" si="87"/>
        <v>0</v>
      </c>
      <c r="S375" s="266">
        <f t="shared" si="88"/>
        <v>66061.349999999977</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1437560.94</v>
      </c>
      <c r="K376" s="327">
        <f t="shared" si="83"/>
        <v>0.1704175963489937</v>
      </c>
      <c r="L376" s="266">
        <f>-SUMIFS(BV_Data_An_Cour!$AN:$AN,BV_Data_An_Cour!$AP:$AP,$B376,BV_Data_An_Cour!$AQ:$AQ,$C376,BV_Data_An_Cour!$AR:$AR,$L$2)</f>
        <v>244985.67999999993</v>
      </c>
      <c r="M376" s="282" t="e">
        <f t="shared" si="84"/>
        <v>#DIV/0!</v>
      </c>
      <c r="N376" s="266">
        <f t="shared" si="85"/>
        <v>244985.67999999993</v>
      </c>
      <c r="O376" s="281">
        <f>-SUMIFS(BV_Data_An_Prec!$AN:$AN,BV_Data_An_Prec!$AS:$AS,"Oui",BV_Data_An_Prec!$AP:$AP,$B376,BV_Data_An_Prec!$AQ:$AQ,$C376)</f>
        <v>0</v>
      </c>
      <c r="P376" s="327">
        <f t="shared" si="86"/>
        <v>0</v>
      </c>
      <c r="Q376" s="266">
        <f>-SUMIFS(BV_Data_An_Prec!$AN:$AN,BV_Data_An_Prec!$AP:$AP,$B376,BV_Data_An_Prec!$AQ:$AQ,$C376,BV_Data_An_Prec!$AR:$AR,$L$2)</f>
        <v>0</v>
      </c>
      <c r="R376" s="282">
        <f t="shared" si="87"/>
        <v>0</v>
      </c>
      <c r="S376" s="266">
        <f t="shared" si="88"/>
        <v>244985.67999999993</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84527.55</v>
      </c>
      <c r="M378" s="282"/>
      <c r="N378" s="266">
        <f t="shared" si="85"/>
        <v>84527.55</v>
      </c>
      <c r="O378" s="281">
        <f>-SUMIFS(BV_Data_An_Prec!$AN:$AN,BV_Data_An_Prec!$AS:$AS,"Oui",BV_Data_An_Prec!$AP:$AP,$B378,BV_Data_An_Prec!$AQ:$AQ,$C378)</f>
        <v>0</v>
      </c>
      <c r="P378" s="327">
        <f t="shared" si="86"/>
        <v>0</v>
      </c>
      <c r="Q378" s="266">
        <f>-SUMIFS(BV_Data_An_Prec!$AN:$AN,BV_Data_An_Prec!$AP:$AP,$B378,BV_Data_An_Prec!$AQ:$AQ,$C378,BV_Data_An_Prec!$AR:$AR,$L$2)</f>
        <v>0</v>
      </c>
      <c r="R378" s="282">
        <f t="shared" si="87"/>
        <v>0</v>
      </c>
      <c r="S378" s="266">
        <f t="shared" si="88"/>
        <v>84527.55</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31365.13</v>
      </c>
      <c r="M379" s="282"/>
      <c r="N379" s="266">
        <f t="shared" si="85"/>
        <v>31365.13</v>
      </c>
      <c r="O379" s="281">
        <f>-SUMIFS(BV_Data_An_Prec!$AN:$AN,BV_Data_An_Prec!$AS:$AS,"Oui",BV_Data_An_Prec!$AP:$AP,$B379,BV_Data_An_Prec!$AQ:$AQ,$C379)</f>
        <v>0</v>
      </c>
      <c r="P379" s="327">
        <f t="shared" si="86"/>
        <v>0</v>
      </c>
      <c r="Q379" s="266">
        <f>-SUMIFS(BV_Data_An_Prec!$AN:$AN,BV_Data_An_Prec!$AP:$AP,$B379,BV_Data_An_Prec!$AQ:$AQ,$C379,BV_Data_An_Prec!$AR:$AR,$L$2)</f>
        <v>0</v>
      </c>
      <c r="R379" s="282">
        <f t="shared" si="87"/>
        <v>0</v>
      </c>
      <c r="S379" s="266">
        <f t="shared" si="88"/>
        <v>31365.13</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3487970.46</v>
      </c>
      <c r="K380" s="370">
        <f t="shared" si="83"/>
        <v>0.27994594312017196</v>
      </c>
      <c r="L380" s="356">
        <f>SUM(L371:L379)</f>
        <v>976443.18</v>
      </c>
      <c r="M380" s="371" t="e">
        <f>(+J380-D380)/D380</f>
        <v>#DIV/0!</v>
      </c>
      <c r="N380" s="356">
        <f t="shared" si="85"/>
        <v>976443.18</v>
      </c>
      <c r="O380" s="355">
        <f t="shared" ref="O380" si="91">SUM(O371:O379)</f>
        <v>0</v>
      </c>
      <c r="P380" s="370">
        <f t="shared" si="86"/>
        <v>0</v>
      </c>
      <c r="Q380" s="356">
        <f>SUM(Q371:Q379)</f>
        <v>0</v>
      </c>
      <c r="R380" s="371">
        <f t="shared" si="87"/>
        <v>0</v>
      </c>
      <c r="S380" s="356">
        <f t="shared" si="88"/>
        <v>976443.18</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0</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151641.01999999999</v>
      </c>
      <c r="K383" s="327">
        <f t="shared" ref="K383:K385" si="93">IF(J383&lt;=0,0,L383/J383)</f>
        <v>0.15852926866358452</v>
      </c>
      <c r="L383" s="303">
        <f>-SUMIFS(BV_Data_An_Cour!$AN:$AN,BV_Data_An_Cour!$AP:$AP,$B383,BV_Data_An_Cour!$AQ:$AQ,$C383,BV_Data_An_Cour!$AR:$AR,$L$2)</f>
        <v>24039.539999999994</v>
      </c>
      <c r="M383" s="282" t="e">
        <f>(+J383-D383)/D383</f>
        <v>#DIV/0!</v>
      </c>
      <c r="N383" s="266">
        <f>L383-F383</f>
        <v>24039.539999999994</v>
      </c>
      <c r="O383" s="281">
        <f>-SUMIFS(BV_Data_An_Prec!$AN:$AN,BV_Data_An_Prec!$AS:$AS,"Oui",BV_Data_An_Prec!$AP:$AP,$B383,BV_Data_An_Prec!$AQ:$AQ,$C383)</f>
        <v>0</v>
      </c>
      <c r="P383" s="327">
        <f t="shared" ref="P383:P385" si="94">IF(O383&lt;=0,0,Q383/O383)</f>
        <v>0</v>
      </c>
      <c r="Q383" s="303">
        <f>-SUMIFS(BV_Data_An_Prec!$AN:$AN,BV_Data_An_Prec!$AP:$AP,$B383,BV_Data_An_Prec!$AQ:$AQ,$C383,BV_Data_An_Prec!$AR:$AR,$L$2)</f>
        <v>0</v>
      </c>
      <c r="R383" s="282">
        <f t="shared" ref="R383:R385" si="95">IF(O383=0,0,(J383-O383)/O383)</f>
        <v>0</v>
      </c>
      <c r="S383" s="266">
        <f t="shared" ref="S383:S385" si="96">L383-Q383</f>
        <v>24039.539999999994</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80665.7</v>
      </c>
      <c r="K384" s="327">
        <f t="shared" si="93"/>
        <v>0.22609237879296895</v>
      </c>
      <c r="L384" s="286">
        <f>-SUMIFS(BV_Data_An_Cour!$AN:$AN,BV_Data_An_Cour!$AP:$AP,$B384,BV_Data_An_Cour!$AQ:$AQ,$C384,BV_Data_An_Cour!$AR:$AR,$L$2)</f>
        <v>18237.899999999994</v>
      </c>
      <c r="M384" s="282" t="e">
        <f>(+J384-D384)/D384</f>
        <v>#DIV/0!</v>
      </c>
      <c r="N384" s="266">
        <f>L384-F384</f>
        <v>18237.899999999994</v>
      </c>
      <c r="O384" s="281">
        <f>-SUMIFS(BV_Data_An_Prec!$AN:$AN,BV_Data_An_Prec!$AS:$AS,"Oui",BV_Data_An_Prec!$AP:$AP,$B384,BV_Data_An_Prec!$AQ:$AQ,$C384)</f>
        <v>0</v>
      </c>
      <c r="P384" s="327">
        <f t="shared" si="94"/>
        <v>0</v>
      </c>
      <c r="Q384" s="286">
        <f>-SUMIFS(BV_Data_An_Prec!$AN:$AN,BV_Data_An_Prec!$AP:$AP,$B384,BV_Data_An_Prec!$AQ:$AQ,$C384,BV_Data_An_Prec!$AR:$AR,$L$2)</f>
        <v>0</v>
      </c>
      <c r="R384" s="282">
        <f t="shared" si="95"/>
        <v>0</v>
      </c>
      <c r="S384" s="266">
        <f t="shared" si="96"/>
        <v>18237.899999999994</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3720277.18</v>
      </c>
      <c r="K385" s="370">
        <f t="shared" si="93"/>
        <v>0.27382922581053493</v>
      </c>
      <c r="L385" s="356">
        <f>L380+L383+L384</f>
        <v>1018720.6200000001</v>
      </c>
      <c r="M385" s="371" t="e">
        <f>(+J385-D385)/D385</f>
        <v>#DIV/0!</v>
      </c>
      <c r="N385" s="356">
        <f>L385-F385</f>
        <v>1018720.6200000001</v>
      </c>
      <c r="O385" s="357">
        <f t="shared" ref="O385" si="99">O380+O383+O384</f>
        <v>0</v>
      </c>
      <c r="P385" s="370">
        <f t="shared" si="94"/>
        <v>0</v>
      </c>
      <c r="Q385" s="356">
        <f>Q380+Q383+Q384</f>
        <v>0</v>
      </c>
      <c r="R385" s="371">
        <f t="shared" si="95"/>
        <v>0</v>
      </c>
      <c r="S385" s="356">
        <f t="shared" si="96"/>
        <v>1018720.6200000001</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0</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3720277.18</v>
      </c>
      <c r="K390" s="373">
        <f>IF(J390&lt;=0,0,L390/J390)</f>
        <v>0.27382922581053493</v>
      </c>
      <c r="L390" s="271">
        <f>L385+L388</f>
        <v>1018720.6200000001</v>
      </c>
      <c r="M390" s="272" t="e">
        <f>(+J390-D390)/D390</f>
        <v>#DIV/0!</v>
      </c>
      <c r="N390" s="271">
        <f>L390-F390</f>
        <v>1018720.6200000001</v>
      </c>
      <c r="O390" s="272">
        <f t="shared" ref="O390" si="102">O385+O388</f>
        <v>0</v>
      </c>
      <c r="P390" s="373">
        <f>IF(O390&lt;=0,0,Q390/O390)</f>
        <v>0</v>
      </c>
      <c r="Q390" s="271">
        <f>Q385+Q388</f>
        <v>0</v>
      </c>
      <c r="R390" s="363">
        <f>IF(O390=0,0,(J390-O390)/O390)</f>
        <v>0</v>
      </c>
      <c r="S390" s="271">
        <f>L390-Q390</f>
        <v>1018720.6200000001</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0</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20771.84</v>
      </c>
      <c r="M394" s="243"/>
      <c r="N394" s="246">
        <f t="shared" ref="N394:N424" si="103">L394-F394</f>
        <v>20771.84</v>
      </c>
      <c r="O394" s="243"/>
      <c r="P394" s="38"/>
      <c r="Q394" s="266">
        <f>SUMIFS(BV_Data_An_Prec!$AN:$AN,BV_Data_An_Prec!$AP:$AP,$B394,BV_Data_An_Prec!$AQ:$AQ,$C394,BV_Data_An_Prec!$AR:$AR,$L$2)</f>
        <v>0</v>
      </c>
      <c r="R394" s="243"/>
      <c r="S394" s="266">
        <f t="shared" ref="S394:S424" si="104">L394-Q394</f>
        <v>20771.84</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25518.34</v>
      </c>
      <c r="M395" s="243"/>
      <c r="N395" s="246">
        <f t="shared" si="103"/>
        <v>25518.34</v>
      </c>
      <c r="O395" s="243"/>
      <c r="P395" s="38"/>
      <c r="Q395" s="266">
        <f>SUMIFS(BV_Data_An_Prec!$AN:$AN,BV_Data_An_Prec!$AP:$AP,$B395,BV_Data_An_Prec!$AQ:$AQ,$C395,BV_Data_An_Prec!$AR:$AR,$L$2)</f>
        <v>0</v>
      </c>
      <c r="R395" s="243"/>
      <c r="S395" s="266">
        <f t="shared" si="104"/>
        <v>25518.34</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174435.89</v>
      </c>
      <c r="M396" s="233"/>
      <c r="N396" s="262">
        <f t="shared" si="103"/>
        <v>174435.89</v>
      </c>
      <c r="O396" s="233"/>
      <c r="P396" s="301"/>
      <c r="Q396" s="303">
        <f>SUMIFS(BV_Data_An_Prec!$AN:$AN,BV_Data_An_Prec!$AP:$AP,$B396,BV_Data_An_Prec!$AQ:$AQ,$C396,BV_Data_An_Prec!$AR:$AR,$L$2)</f>
        <v>0</v>
      </c>
      <c r="R396" s="233"/>
      <c r="S396" s="303">
        <f t="shared" si="104"/>
        <v>174435.89</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22641.65</v>
      </c>
      <c r="M401" s="243"/>
      <c r="N401" s="246">
        <f t="shared" si="103"/>
        <v>22641.65</v>
      </c>
      <c r="O401" s="243"/>
      <c r="P401" s="38"/>
      <c r="Q401" s="266">
        <f>SUMIFS(BV_Data_An_Prec!$AN:$AN,BV_Data_An_Prec!$AP:$AP,$B401,BV_Data_An_Prec!$AQ:$AQ,$C401,BV_Data_An_Prec!$AR:$AR,$L$2)</f>
        <v>0</v>
      </c>
      <c r="R401" s="243"/>
      <c r="S401" s="266">
        <f t="shared" si="104"/>
        <v>22641.65</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30230.27</v>
      </c>
      <c r="M402" s="233"/>
      <c r="N402" s="262">
        <f t="shared" si="103"/>
        <v>30230.27</v>
      </c>
      <c r="O402" s="233"/>
      <c r="P402" s="301"/>
      <c r="Q402" s="303">
        <f>SUMIFS(BV_Data_An_Prec!$AN:$AN,BV_Data_An_Prec!$AP:$AP,$B402,BV_Data_An_Prec!$AQ:$AQ,$C402,BV_Data_An_Prec!$AR:$AR,$L$2)</f>
        <v>0</v>
      </c>
      <c r="R402" s="233"/>
      <c r="S402" s="303">
        <f t="shared" si="104"/>
        <v>30230.27</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13446.4</v>
      </c>
      <c r="M403" s="243"/>
      <c r="N403" s="246">
        <f t="shared" si="103"/>
        <v>13446.4</v>
      </c>
      <c r="O403" s="243"/>
      <c r="P403" s="38"/>
      <c r="Q403" s="266">
        <f>SUMIFS(BV_Data_An_Prec!$AN:$AN,BV_Data_An_Prec!$AP:$AP,$B403,BV_Data_An_Prec!$AQ:$AQ,$C403,BV_Data_An_Prec!$AR:$AR,$L$2)</f>
        <v>0</v>
      </c>
      <c r="R403" s="243"/>
      <c r="S403" s="266">
        <f t="shared" si="104"/>
        <v>13446.4</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1937.34</v>
      </c>
      <c r="M404" s="243"/>
      <c r="N404" s="246">
        <f t="shared" si="103"/>
        <v>1937.34</v>
      </c>
      <c r="O404" s="243"/>
      <c r="P404" s="38"/>
      <c r="Q404" s="266">
        <f>SUMIFS(BV_Data_An_Prec!$AN:$AN,BV_Data_An_Prec!$AP:$AP,$B404,BV_Data_An_Prec!$AQ:$AQ,$C404,BV_Data_An_Prec!$AR:$AR,$L$2)</f>
        <v>0</v>
      </c>
      <c r="R404" s="243"/>
      <c r="S404" s="266">
        <f t="shared" si="104"/>
        <v>1937.34</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0.28367122872215939</v>
      </c>
      <c r="L406" s="294">
        <f>+SUM(L394:L405)</f>
        <v>288981.73000000004</v>
      </c>
      <c r="M406" s="296"/>
      <c r="N406" s="294">
        <f t="shared" si="103"/>
        <v>288981.73000000004</v>
      </c>
      <c r="O406" s="295" t="s">
        <v>115</v>
      </c>
      <c r="P406" s="293" t="e">
        <f>Q406/Q$390</f>
        <v>#DIV/0!</v>
      </c>
      <c r="Q406" s="294">
        <f>+SUM(Q394:Q405)</f>
        <v>0</v>
      </c>
      <c r="R406" s="297"/>
      <c r="S406" s="294">
        <f t="shared" si="104"/>
        <v>288981.73000000004</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12492.91</v>
      </c>
      <c r="M407" s="243"/>
      <c r="N407" s="266">
        <f t="shared" si="103"/>
        <v>12492.91</v>
      </c>
      <c r="O407" s="243"/>
      <c r="P407" s="38"/>
      <c r="Q407" s="266">
        <f>SUMIFS(BV_Data_An_Prec!$AN:$AN,BV_Data_An_Prec!$AP:$AP,$B407,BV_Data_An_Prec!$AQ:$AQ,$C407,BV_Data_An_Prec!$AR:$AR,$L$2)</f>
        <v>0</v>
      </c>
      <c r="R407" s="243"/>
      <c r="S407" s="266">
        <f t="shared" si="104"/>
        <v>12492.91</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2123.5300000000002</v>
      </c>
      <c r="M408" s="243"/>
      <c r="N408" s="266">
        <f t="shared" si="103"/>
        <v>2123.5300000000002</v>
      </c>
      <c r="O408" s="243"/>
      <c r="P408" s="38"/>
      <c r="Q408" s="266">
        <f>SUMIFS(BV_Data_An_Prec!$AN:$AN,BV_Data_An_Prec!$AP:$AP,$B408,BV_Data_An_Prec!$AQ:$AQ,$C408,BV_Data_An_Prec!$AR:$AR,$L$2)</f>
        <v>0</v>
      </c>
      <c r="R408" s="243"/>
      <c r="S408" s="266">
        <f t="shared" si="104"/>
        <v>2123.5300000000002</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27449.439999999999</v>
      </c>
      <c r="M409" s="238"/>
      <c r="N409" s="286">
        <f t="shared" si="103"/>
        <v>27449.439999999999</v>
      </c>
      <c r="O409" s="238"/>
      <c r="P409" s="304"/>
      <c r="Q409" s="286">
        <f>SUMIFS(BV_Data_An_Prec!$AN:$AN,BV_Data_An_Prec!$AP:$AP,$B409,BV_Data_An_Prec!$AQ:$AQ,$C409,BV_Data_An_Prec!$AR:$AR,$L$2)</f>
        <v>0</v>
      </c>
      <c r="R409" s="238"/>
      <c r="S409" s="286">
        <f t="shared" si="104"/>
        <v>27449.439999999999</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17199.36</v>
      </c>
      <c r="M410" s="243"/>
      <c r="N410" s="266">
        <f t="shared" si="103"/>
        <v>17199.36</v>
      </c>
      <c r="O410" s="243"/>
      <c r="P410" s="38"/>
      <c r="Q410" s="266">
        <f>SUMIFS(BV_Data_An_Prec!$AN:$AN,BV_Data_An_Prec!$AP:$AP,$B410,BV_Data_An_Prec!$AQ:$AQ,$C410,BV_Data_An_Prec!$AR:$AR,$L$2)</f>
        <v>0</v>
      </c>
      <c r="R410" s="243"/>
      <c r="S410" s="266">
        <f t="shared" si="104"/>
        <v>17199.36</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11705.93</v>
      </c>
      <c r="M411" s="243"/>
      <c r="N411" s="266">
        <f t="shared" si="103"/>
        <v>11705.93</v>
      </c>
      <c r="O411" s="243"/>
      <c r="P411" s="38"/>
      <c r="Q411" s="266">
        <f>SUMIFS(BV_Data_An_Prec!$AN:$AN,BV_Data_An_Prec!$AP:$AP,$B411,BV_Data_An_Prec!$AQ:$AQ,$C411,BV_Data_An_Prec!$AR:$AR,$L$2)</f>
        <v>0</v>
      </c>
      <c r="R411" s="243"/>
      <c r="S411" s="266">
        <f t="shared" si="104"/>
        <v>11705.93</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25738.080000000002</v>
      </c>
      <c r="M412" s="238"/>
      <c r="N412" s="286">
        <f t="shared" si="103"/>
        <v>25738.080000000002</v>
      </c>
      <c r="O412" s="238"/>
      <c r="P412" s="304"/>
      <c r="Q412" s="286">
        <f>SUMIFS(BV_Data_An_Prec!$AN:$AN,BV_Data_An_Prec!$AP:$AP,$B412,BV_Data_An_Prec!$AQ:$AQ,$C412,BV_Data_An_Prec!$AR:$AR,$L$2)</f>
        <v>0</v>
      </c>
      <c r="R412" s="238"/>
      <c r="S412" s="286">
        <f t="shared" si="104"/>
        <v>25738.080000000002</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1495.8</v>
      </c>
      <c r="M414" s="243"/>
      <c r="N414" s="266">
        <f t="shared" si="103"/>
        <v>1495.8</v>
      </c>
      <c r="O414" s="243"/>
      <c r="P414" s="38"/>
      <c r="Q414" s="266">
        <f>SUMIFS(BV_Data_An_Prec!$AN:$AN,BV_Data_An_Prec!$AP:$AP,$B414,BV_Data_An_Prec!$AQ:$AQ,$C414,BV_Data_An_Prec!$AR:$AR,$L$2)</f>
        <v>0</v>
      </c>
      <c r="R414" s="243"/>
      <c r="S414" s="266">
        <f t="shared" si="104"/>
        <v>1495.8</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5471.65</v>
      </c>
      <c r="M416" s="243"/>
      <c r="N416" s="266">
        <f t="shared" si="103"/>
        <v>5471.65</v>
      </c>
      <c r="O416" s="243"/>
      <c r="P416" s="38"/>
      <c r="Q416" s="266">
        <f>SUMIFS(BV_Data_An_Prec!$AN:$AN,BV_Data_An_Prec!$AP:$AP,$B416,BV_Data_An_Prec!$AQ:$AQ,$C416,BV_Data_An_Prec!$AR:$AR,$L$2)</f>
        <v>0</v>
      </c>
      <c r="R416" s="243"/>
      <c r="S416" s="266">
        <f t="shared" si="104"/>
        <v>5471.65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3023.13</v>
      </c>
      <c r="M417" s="243"/>
      <c r="N417" s="266">
        <f t="shared" si="103"/>
        <v>3023.13</v>
      </c>
      <c r="O417" s="243"/>
      <c r="P417" s="38"/>
      <c r="Q417" s="266">
        <f>SUMIFS(BV_Data_An_Prec!$AN:$AN,BV_Data_An_Prec!$AP:$AP,$B417,BV_Data_An_Prec!$AQ:$AQ,$C417,BV_Data_An_Prec!$AR:$AR,$L$2)</f>
        <v>0</v>
      </c>
      <c r="R417" s="243"/>
      <c r="S417" s="266">
        <f t="shared" si="104"/>
        <v>3023.13</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6345.13</v>
      </c>
      <c r="M418" s="243"/>
      <c r="N418" s="266">
        <f t="shared" si="103"/>
        <v>6345.13</v>
      </c>
      <c r="O418" s="243"/>
      <c r="P418" s="38"/>
      <c r="Q418" s="266">
        <f>SUMIFS(BV_Data_An_Prec!$AN:$AN,BV_Data_An_Prec!$AP:$AP,$B418,BV_Data_An_Prec!$AQ:$AQ,$C418,BV_Data_An_Prec!$AR:$AR,$L$2)</f>
        <v>0</v>
      </c>
      <c r="R418" s="243"/>
      <c r="S418" s="266">
        <f t="shared" si="104"/>
        <v>6345.13</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14142.689999999999</v>
      </c>
      <c r="M419" s="243"/>
      <c r="N419" s="266">
        <f t="shared" si="103"/>
        <v>14142.689999999999</v>
      </c>
      <c r="O419" s="243"/>
      <c r="P419" s="38"/>
      <c r="Q419" s="266">
        <f>SUMIFS(BV_Data_An_Prec!$AN:$AN,BV_Data_An_Prec!$AP:$AP,$B419,BV_Data_An_Prec!$AQ:$AQ,$C419,BV_Data_An_Prec!$AR:$AR,$L$2)</f>
        <v>0</v>
      </c>
      <c r="R419" s="243"/>
      <c r="S419" s="266">
        <f t="shared" si="104"/>
        <v>14142.689999999999</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6018.5</v>
      </c>
      <c r="M420" s="243"/>
      <c r="N420" s="266">
        <f t="shared" si="103"/>
        <v>6018.5</v>
      </c>
      <c r="O420" s="243"/>
      <c r="P420" s="38"/>
      <c r="Q420" s="266">
        <f>SUMIFS(BV_Data_An_Prec!$AN:$AN,BV_Data_An_Prec!$AP:$AP,$B420,BV_Data_An_Prec!$AQ:$AQ,$C420,BV_Data_An_Prec!$AR:$AR,$L$2)</f>
        <v>0</v>
      </c>
      <c r="R420" s="243"/>
      <c r="S420" s="266">
        <f t="shared" si="104"/>
        <v>6018.5</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1154.1400000000001</v>
      </c>
      <c r="M421" s="243"/>
      <c r="N421" s="266">
        <f t="shared" si="103"/>
        <v>1154.1400000000001</v>
      </c>
      <c r="O421" s="243"/>
      <c r="P421" s="38"/>
      <c r="Q421" s="266">
        <f>SUMIFS(BV_Data_An_Prec!$AN:$AN,BV_Data_An_Prec!$AP:$AP,$B421,BV_Data_An_Prec!$AQ:$AQ,$C421,BV_Data_An_Prec!$AR:$AR,Q$2)</f>
        <v>0</v>
      </c>
      <c r="R421" s="243"/>
      <c r="S421" s="266">
        <f t="shared" si="104"/>
        <v>1154.1400000000001</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0.13189120487224459</v>
      </c>
      <c r="L425" s="294">
        <f>+SUM(L407:L424)</f>
        <v>134360.29000000004</v>
      </c>
      <c r="M425" s="296"/>
      <c r="N425" s="294">
        <f>+SUM(N407:N424)</f>
        <v>134360.29000000004</v>
      </c>
      <c r="O425" s="295" t="s">
        <v>115</v>
      </c>
      <c r="P425" s="293" t="e">
        <f>Q425/Q$390</f>
        <v>#DIV/0!</v>
      </c>
      <c r="Q425" s="294">
        <f>+SUM(Q407:Q424)</f>
        <v>0</v>
      </c>
      <c r="R425" s="297"/>
      <c r="S425" s="294">
        <f>+SUM(S407:S424)</f>
        <v>134360.29000000004</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0.41556243359440398</v>
      </c>
      <c r="L427" s="294">
        <f>L406+L425</f>
        <v>423342.02000000008</v>
      </c>
      <c r="M427" s="296"/>
      <c r="N427" s="294">
        <f>L427-F427</f>
        <v>423342.02000000008</v>
      </c>
      <c r="O427" s="295" t="s">
        <v>115</v>
      </c>
      <c r="P427" s="293" t="e">
        <f>Q427/Q$390</f>
        <v>#DIV/0!</v>
      </c>
      <c r="Q427" s="294">
        <f>Q406+Q425</f>
        <v>0</v>
      </c>
      <c r="R427" s="297"/>
      <c r="S427" s="294">
        <f>L427-Q427</f>
        <v>423342.02000000008</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595378.60000000009</v>
      </c>
      <c r="M429" s="960"/>
      <c r="N429" s="958">
        <f>L429-F429</f>
        <v>595378.60000000009</v>
      </c>
      <c r="O429" s="959"/>
      <c r="P429" s="957"/>
      <c r="Q429" s="958">
        <f>Q390-Q427</f>
        <v>0</v>
      </c>
      <c r="R429" s="961"/>
      <c r="S429" s="958">
        <f>L429-Q429</f>
        <v>595378.60000000009</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Octobre 2025</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5"/>
      <c r="F434" s="1066"/>
      <c r="G434" s="1069"/>
      <c r="H434" s="1065"/>
      <c r="I434" s="1066"/>
      <c r="J434" s="1069" t="s">
        <v>340</v>
      </c>
      <c r="K434" s="1065"/>
      <c r="L434" s="1066"/>
      <c r="M434" s="1069"/>
      <c r="N434" s="1066"/>
      <c r="O434" s="1064" t="s">
        <v>341</v>
      </c>
      <c r="P434" s="1065"/>
      <c r="Q434" s="1066"/>
      <c r="R434" s="1069" t="s">
        <v>342</v>
      </c>
      <c r="S434" s="1066"/>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829992.57</v>
      </c>
      <c r="L440" s="303">
        <f>-SUMIFS(BV_Data_An_Cour!$AN:$AN,BV_Data_An_Cour!$AP:$AP,$B440,BV_Data_An_Cour!$AQ:$AQ,$C440,BV_Data_An_Cour!$AR:$AR,$L$2)</f>
        <v>621928.06999999995</v>
      </c>
      <c r="M440" s="340">
        <f>IFERROR((K440-E440)/E440,0)</f>
        <v>0</v>
      </c>
      <c r="N440" s="303">
        <f>L440-F440</f>
        <v>621928.06999999995</v>
      </c>
      <c r="O440" s="337" cm="1">
        <f t="array" ref="O440">+SUMPRODUCT(('Réel 2024'!$A$8:$A$501=$A440)*('Réel 2024'!$C$3:$AO$3=O$2),'Réel 2024'!$C$8:$AO$501)</f>
        <v>0</v>
      </c>
      <c r="P440" s="336">
        <f>-SUMIFS(BV_Data_An_Prec!$AN:$AN,BV_Data_An_Prec!$AS:$AS,"Oui",BV_Data_An_Prec!$AP:$AP,$B440,BV_Data_An_Prec!$AQ:$AQ,$C440)</f>
        <v>0</v>
      </c>
      <c r="Q440" s="303">
        <f>-SUMIFS(BV_Data_An_Prec!$AN:$AN,BV_Data_An_Prec!$AP:$AP,$B440,BV_Data_An_Prec!$AQ:$AQ,$C440,BV_Data_An_Prec!$AR:$AR,$L$2)</f>
        <v>0</v>
      </c>
      <c r="R440" s="282">
        <f>IF(O440=0,0,J440/O440)</f>
        <v>0</v>
      </c>
      <c r="S440" s="266">
        <f>L440-Q440</f>
        <v>621928.06999999995</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0.74931763545786922</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11010</v>
      </c>
      <c r="L443" s="266">
        <f>-SUMIFS(BV_Data_An_Cour!$AN:$AN,BV_Data_An_Cour!$AP:$AP,$B443,BV_Data_An_Cour!$AQ:$AQ,$C443,BV_Data_An_Cour!$AR:$AR,$L$2)</f>
        <v>8073.04</v>
      </c>
      <c r="M443" s="282">
        <f>IFERROR((K443-E443)/E443,0)</f>
        <v>0</v>
      </c>
      <c r="N443" s="303">
        <f>L443-F443</f>
        <v>8073.04</v>
      </c>
      <c r="O443" s="337" cm="1">
        <f t="array" ref="O443">+SUMPRODUCT(('Réel 2024'!$A$8:$A$501=$A443)*('Réel 2024'!$C$3:$AO$3=O$2),'Réel 2024'!$C$8:$AO$501)</f>
        <v>0</v>
      </c>
      <c r="P443" s="281">
        <f>-SUMIFS(BV_Data_An_Prec!$AN:$AN,BV_Data_An_Prec!$AS:$AS,"Oui",BV_Data_An_Prec!$AP:$AP,$B443,BV_Data_An_Prec!$AQ:$AQ,$C443)</f>
        <v>0</v>
      </c>
      <c r="Q443" s="266">
        <f>-SUMIFS(BV_Data_An_Prec!$AN:$AN,BV_Data_An_Prec!$AP:$AP,$B443,BV_Data_An_Prec!$AQ:$AQ,$C443,BV_Data_An_Prec!$AR:$AR,$L$2)</f>
        <v>0</v>
      </c>
      <c r="R443" s="282">
        <f>IF(O443=0,0,J443/O443)</f>
        <v>0</v>
      </c>
      <c r="S443" s="266">
        <f>L443-Q443</f>
        <v>8073.04</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0.73324613987284282</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841002.57</v>
      </c>
      <c r="L448" s="271">
        <f>L437+L440+L443</f>
        <v>630001.11</v>
      </c>
      <c r="M448" s="272"/>
      <c r="N448" s="271"/>
      <c r="O448" s="272"/>
      <c r="P448" s="269">
        <f>P437+P440+P443</f>
        <v>0</v>
      </c>
      <c r="Q448" s="271">
        <f>Q437+Q440+Q443</f>
        <v>0</v>
      </c>
      <c r="R448" s="272">
        <f>IF(O448=0,0,(J448-O448)/O448)</f>
        <v>0</v>
      </c>
      <c r="S448" s="271">
        <f>L448-Q448</f>
        <v>630001.11</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0.74910723518954292</v>
      </c>
      <c r="M449" s="276"/>
      <c r="N449" s="277"/>
      <c r="O449" s="273"/>
      <c r="P449" s="947"/>
      <c r="Q449" s="326" t="e">
        <f>Q448/P448</f>
        <v>#DIV/0!</v>
      </c>
      <c r="R449" s="276"/>
      <c r="S449" s="326">
        <f>IF(Q448=0,0,S448/Q448)</f>
        <v>0</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630001.11</v>
      </c>
      <c r="M486" s="960"/>
      <c r="N486" s="958"/>
      <c r="O486" s="959"/>
      <c r="P486" s="957"/>
      <c r="Q486" s="958">
        <f>Q448-Q484</f>
        <v>0</v>
      </c>
      <c r="R486" s="961"/>
      <c r="S486" s="958">
        <f>L486-Q486</f>
        <v>630001.11</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-51584.869999999995</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Octobre 2025</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4" t="s">
        <v>592</v>
      </c>
      <c r="Y491" s="1072"/>
      <c r="Z491" s="1075"/>
      <c r="AA491" s="1071"/>
      <c r="AB491" s="1072"/>
      <c r="AC491" s="1075"/>
      <c r="AD491" s="1071" t="s">
        <v>340</v>
      </c>
      <c r="AE491" s="1072"/>
      <c r="AF491" s="1075"/>
      <c r="AG491" s="1071" t="s">
        <v>668</v>
      </c>
      <c r="AH491" s="1072"/>
      <c r="AI491" s="1075"/>
      <c r="AJ491" s="1071" t="s">
        <v>593</v>
      </c>
      <c r="AK491" s="1072"/>
      <c r="AL491" s="1072"/>
      <c r="AM491" s="1071" t="s">
        <v>594</v>
      </c>
      <c r="AN491" s="1072"/>
      <c r="AO491" s="1073"/>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214486082.01999998</v>
      </c>
      <c r="AG493" s="384"/>
      <c r="AH493" s="385"/>
      <c r="AI493" s="386"/>
      <c r="AJ493" s="384"/>
      <c r="AK493" s="385"/>
      <c r="AL493" s="383">
        <f>Q5+Q93+Q173+P268+P326+O390+P448</f>
        <v>0</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4.1577671082492211E-2</v>
      </c>
      <c r="AE494" s="393"/>
      <c r="AF494" s="391">
        <f>L27+L109+L182+L268+L326+L390+L448</f>
        <v>8917831.7700000051</v>
      </c>
      <c r="AG494" s="392"/>
      <c r="AH494" s="393" t="e">
        <f>AF494-Z494</f>
        <v>#REF!</v>
      </c>
      <c r="AI494" s="394" t="e">
        <f>AH494/Z494</f>
        <v>#REF!</v>
      </c>
      <c r="AJ494" s="754" t="e">
        <f>+AL494/AL493</f>
        <v>#DIV/0!</v>
      </c>
      <c r="AK494" s="393"/>
      <c r="AL494" s="391">
        <f>Q27+Q109+Q182+Q268+Q326+Q390+Q448</f>
        <v>0</v>
      </c>
      <c r="AM494" s="395"/>
      <c r="AN494" s="393">
        <f>AF494-AL494</f>
        <v>8917831.7700000051</v>
      </c>
      <c r="AO494" s="396">
        <f>IF(AL494=0,0,AN494/AL494)</f>
        <v>0</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827.17404730617613</v>
      </c>
      <c r="AF496" s="399">
        <f t="shared" ref="AF496:AF505" si="110">+SUMIF($C:$C,$V496,L:L)</f>
        <v>629479.45000000007</v>
      </c>
      <c r="AG496" s="400" t="e">
        <f t="shared" ref="AG496:AG505" si="111">AE496-Y496</f>
        <v>#DIV/0!</v>
      </c>
      <c r="AH496" s="401">
        <f t="shared" ref="AH496:AH505" si="112">AF496-Z496</f>
        <v>629479.45000000007</v>
      </c>
      <c r="AI496" s="402">
        <f t="shared" ref="AI496:AI505" si="113">IF(Z496=0,0,AH496/Z496)</f>
        <v>0</v>
      </c>
      <c r="AJ496" s="407"/>
      <c r="AK496" s="401">
        <f>IF(AL496=0,0,AL496/(O$13+O$97))</f>
        <v>0</v>
      </c>
      <c r="AL496" s="399">
        <f>SUMIFS(BV_Data_An_Prec!$AN:$AN,BV_Data_An_Prec!$AQ:$AQ,$V496)</f>
        <v>0</v>
      </c>
      <c r="AM496" s="403">
        <f>AE496-AK496</f>
        <v>827.17404730617613</v>
      </c>
      <c r="AN496" s="401">
        <f>AF496-AL496</f>
        <v>629479.45000000007</v>
      </c>
      <c r="AO496" s="408">
        <f>IF(AL496=0,0,AN496/AL496)</f>
        <v>0</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206.96729303547966</v>
      </c>
      <c r="AF497" s="383">
        <f t="shared" si="110"/>
        <v>157502.11000000002</v>
      </c>
      <c r="AG497" s="384" t="e">
        <f t="shared" si="111"/>
        <v>#DIV/0!</v>
      </c>
      <c r="AH497" s="385">
        <f t="shared" si="112"/>
        <v>157502.11000000002</v>
      </c>
      <c r="AI497" s="412">
        <f t="shared" si="113"/>
        <v>0</v>
      </c>
      <c r="AJ497" s="411"/>
      <c r="AK497" s="385">
        <f t="shared" ref="AK497:AK504" si="115">IF(AL497=0,0,AL497/(O$13+O$97))</f>
        <v>0</v>
      </c>
      <c r="AL497" s="383">
        <f>SUMIFS(BV_Data_An_Prec!$AN:$AN,BV_Data_An_Prec!$AQ:$AQ,$V497)</f>
        <v>0</v>
      </c>
      <c r="AM497" s="993">
        <f t="shared" ref="AM497:AM504" si="116">AE497-AK497</f>
        <v>206.96729303547966</v>
      </c>
      <c r="AN497" s="385">
        <f t="shared" ref="AN497:AN504" si="117">AF497-AL497</f>
        <v>157502.11000000002</v>
      </c>
      <c r="AO497" s="388">
        <f t="shared" ref="AO497:AO504" si="118">IF(AL497=0,0,AN497/AL497)</f>
        <v>0</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-67.785637319316677</v>
      </c>
      <c r="AF498" s="399">
        <f t="shared" si="110"/>
        <v>-51584.869999999995</v>
      </c>
      <c r="AG498" s="400" t="e">
        <f t="shared" si="111"/>
        <v>#DIV/0!</v>
      </c>
      <c r="AH498" s="401">
        <f t="shared" si="112"/>
        <v>-51584.869999999995</v>
      </c>
      <c r="AI498" s="402">
        <f t="shared" si="113"/>
        <v>0</v>
      </c>
      <c r="AJ498" s="407"/>
      <c r="AK498" s="401">
        <f t="shared" si="115"/>
        <v>0</v>
      </c>
      <c r="AL498" s="399">
        <f>SUMIFS(BV_Data_An_Prec!$AN:$AN,BV_Data_An_Prec!$AQ:$AQ,$V498)</f>
        <v>0</v>
      </c>
      <c r="AM498" s="403">
        <f t="shared" si="116"/>
        <v>-67.785637319316677</v>
      </c>
      <c r="AN498" s="401">
        <f t="shared" si="117"/>
        <v>-51584.869999999995</v>
      </c>
      <c r="AO498" s="408">
        <f t="shared" si="118"/>
        <v>0</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8.9147174770039417</v>
      </c>
      <c r="AF499" s="399">
        <f t="shared" si="110"/>
        <v>6784.0999999999995</v>
      </c>
      <c r="AG499" s="400" t="e">
        <f t="shared" si="111"/>
        <v>#DIV/0!</v>
      </c>
      <c r="AH499" s="401">
        <f t="shared" si="112"/>
        <v>6784.0999999999995</v>
      </c>
      <c r="AI499" s="402">
        <f t="shared" si="113"/>
        <v>0</v>
      </c>
      <c r="AJ499" s="407"/>
      <c r="AK499" s="401">
        <f t="shared" si="115"/>
        <v>0</v>
      </c>
      <c r="AL499" s="399">
        <f>SUMIFS(BV_Data_An_Prec!$AN:$AN,BV_Data_An_Prec!$AQ:$AQ,$V499)</f>
        <v>0</v>
      </c>
      <c r="AM499" s="403">
        <f t="shared" si="116"/>
        <v>8.9147174770039417</v>
      </c>
      <c r="AN499" s="401">
        <f t="shared" si="117"/>
        <v>6784.0999999999995</v>
      </c>
      <c r="AO499" s="408">
        <f t="shared" si="118"/>
        <v>0</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-239.8131143232589</v>
      </c>
      <c r="AF501" s="399">
        <f t="shared" si="110"/>
        <v>-182497.78000000003</v>
      </c>
      <c r="AG501" s="400" t="e">
        <f t="shared" si="111"/>
        <v>#DIV/0!</v>
      </c>
      <c r="AH501" s="401">
        <f t="shared" si="112"/>
        <v>-182497.78000000003</v>
      </c>
      <c r="AI501" s="402">
        <f t="shared" si="113"/>
        <v>0</v>
      </c>
      <c r="AJ501" s="407"/>
      <c r="AK501" s="401">
        <f t="shared" si="115"/>
        <v>0</v>
      </c>
      <c r="AL501" s="399">
        <f>SUMIFS(BV_Data_An_Prec!$AN:$AN,BV_Data_An_Prec!$AQ:$AQ,$V501)</f>
        <v>0</v>
      </c>
      <c r="AM501" s="403">
        <f t="shared" si="116"/>
        <v>-239.8131143232589</v>
      </c>
      <c r="AN501" s="401">
        <f t="shared" si="117"/>
        <v>-182497.78000000003</v>
      </c>
      <c r="AO501" s="408">
        <f t="shared" si="118"/>
        <v>0</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1604.7660315374508</v>
      </c>
      <c r="AF502" s="399">
        <f t="shared" si="110"/>
        <v>1221226.95</v>
      </c>
      <c r="AG502" s="704" t="e">
        <f t="shared" si="111"/>
        <v>#DIV/0!</v>
      </c>
      <c r="AH502" s="659">
        <f t="shared" si="112"/>
        <v>1221226.95</v>
      </c>
      <c r="AI502" s="402">
        <f t="shared" si="113"/>
        <v>0</v>
      </c>
      <c r="AJ502" s="407"/>
      <c r="AK502" s="401">
        <f t="shared" si="115"/>
        <v>0</v>
      </c>
      <c r="AL502" s="399">
        <f>SUMIFS(BV_Data_An_Prec!$AN:$AN,BV_Data_An_Prec!$AQ:$AQ,$V502)</f>
        <v>0</v>
      </c>
      <c r="AM502" s="403">
        <f t="shared" si="116"/>
        <v>1604.7660315374508</v>
      </c>
      <c r="AN502" s="401">
        <f t="shared" si="117"/>
        <v>1221226.95</v>
      </c>
      <c r="AO502" s="408">
        <f t="shared" si="118"/>
        <v>0</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3129</v>
      </c>
      <c r="W503" s="405"/>
      <c r="X503" s="402"/>
      <c r="Y503" s="406" t="e">
        <f t="shared" si="108"/>
        <v>#DIV/0!</v>
      </c>
      <c r="Z503" s="399">
        <f t="shared" si="109"/>
        <v>0</v>
      </c>
      <c r="AA503" s="398"/>
      <c r="AB503" s="406"/>
      <c r="AC503" s="399"/>
      <c r="AD503" s="407"/>
      <c r="AE503" s="401">
        <f>IF(AF503=0,0,AF503/(J$13+J$97))</f>
        <v>-3413.600249671485</v>
      </c>
      <c r="AF503" s="399">
        <f t="shared" si="110"/>
        <v>-2597749.79</v>
      </c>
      <c r="AG503" s="400" t="e">
        <f t="shared" si="111"/>
        <v>#DIV/0!</v>
      </c>
      <c r="AH503" s="401">
        <f t="shared" si="112"/>
        <v>-2597749.79</v>
      </c>
      <c r="AI503" s="402">
        <f t="shared" si="113"/>
        <v>0</v>
      </c>
      <c r="AJ503" s="407"/>
      <c r="AK503" s="401">
        <f t="shared" si="115"/>
        <v>0</v>
      </c>
      <c r="AL503" s="399">
        <f>SUMIFS(BV_Data_An_Prec!$AN:$AN,BV_Data_An_Prec!$AQ:$AQ,$V503)</f>
        <v>0</v>
      </c>
      <c r="AM503" s="403">
        <f>AE503-AK503</f>
        <v>-3413.600249671485</v>
      </c>
      <c r="AN503" s="401">
        <f t="shared" si="117"/>
        <v>-2597749.79</v>
      </c>
      <c r="AO503" s="408">
        <f t="shared" si="118"/>
        <v>0</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3130</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t="e">
        <f t="shared" ref="AK505" si="120">AL505/(O$13+O$97)</f>
        <v>#DIV/0!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-9.1596236738608006E-2</v>
      </c>
      <c r="AE506" s="419"/>
      <c r="AF506" s="416">
        <f>SUM(AF496:AF505)</f>
        <v>-816839.83000000007</v>
      </c>
      <c r="AG506" s="418"/>
      <c r="AH506" s="419">
        <f t="shared" ref="AH506:AH538" si="124">AF506-Z506</f>
        <v>-816839.83000000007</v>
      </c>
      <c r="AI506" s="415" t="e">
        <f>AH506/Z506</f>
        <v>#DIV/0!</v>
      </c>
      <c r="AJ506" s="417">
        <f>IF($AL$494=0,0,AL506/$AL$494)</f>
        <v>0</v>
      </c>
      <c r="AK506" s="419"/>
      <c r="AL506" s="416">
        <f>SUM(AL496:AL505)</f>
        <v>0</v>
      </c>
      <c r="AM506" s="423"/>
      <c r="AN506" s="419">
        <f t="shared" si="122"/>
        <v>-816839.83000000007</v>
      </c>
      <c r="AO506" s="396">
        <f t="shared" si="123"/>
        <v>0</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296318.27</v>
      </c>
      <c r="AG507" s="400"/>
      <c r="AH507" s="401">
        <f t="shared" si="124"/>
        <v>296318.27</v>
      </c>
      <c r="AI507" s="402">
        <f t="shared" ref="AI507:AI519" si="125">IF(Z507=0,0,AH507/Z507)</f>
        <v>0</v>
      </c>
      <c r="AJ507" s="407"/>
      <c r="AK507" s="406"/>
      <c r="AL507" s="399">
        <f>SUMIFS(BV_Data_An_Prec!$AN:$AN,BV_Data_An_Prec!$AQ:$AQ,$V507)</f>
        <v>0</v>
      </c>
      <c r="AM507" s="403"/>
      <c r="AN507" s="401">
        <f t="shared" si="122"/>
        <v>296318.27</v>
      </c>
      <c r="AO507" s="408">
        <f t="shared" si="123"/>
        <v>0</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851417.86</v>
      </c>
      <c r="AG508" s="400"/>
      <c r="AH508" s="401">
        <f t="shared" si="124"/>
        <v>851417.86</v>
      </c>
      <c r="AI508" s="402">
        <f t="shared" si="125"/>
        <v>0</v>
      </c>
      <c r="AJ508" s="407"/>
      <c r="AK508" s="406"/>
      <c r="AL508" s="399">
        <f>SUMIFS(BV_Data_An_Prec!$AN:$AN,BV_Data_An_Prec!$AQ:$AQ,$V508)</f>
        <v>0</v>
      </c>
      <c r="AM508" s="403"/>
      <c r="AN508" s="401">
        <f t="shared" si="122"/>
        <v>851417.86</v>
      </c>
      <c r="AO508" s="408">
        <f t="shared" si="123"/>
        <v>0</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791282.75</v>
      </c>
      <c r="AG509" s="384"/>
      <c r="AH509" s="385">
        <f t="shared" si="124"/>
        <v>791282.75</v>
      </c>
      <c r="AI509" s="412">
        <f t="shared" si="125"/>
        <v>0</v>
      </c>
      <c r="AJ509" s="411"/>
      <c r="AK509" s="410"/>
      <c r="AL509" s="383">
        <f>SUMIFS(BV_Data_An_Prec!$AN:$AN,BV_Data_An_Prec!$AQ:$AQ,$V509)</f>
        <v>0</v>
      </c>
      <c r="AM509" s="387"/>
      <c r="AN509" s="385">
        <f t="shared" si="122"/>
        <v>791282.75</v>
      </c>
      <c r="AO509" s="388">
        <f t="shared" si="123"/>
        <v>0</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796028.61</v>
      </c>
      <c r="AG510" s="400"/>
      <c r="AH510" s="401">
        <f t="shared" si="124"/>
        <v>796028.61</v>
      </c>
      <c r="AI510" s="402">
        <f t="shared" si="125"/>
        <v>0</v>
      </c>
      <c r="AJ510" s="407"/>
      <c r="AK510" s="406"/>
      <c r="AL510" s="399">
        <f>SUMIFS(BV_Data_An_Prec!$AN:$AN,BV_Data_An_Prec!$AQ:$AQ,$V510)</f>
        <v>0</v>
      </c>
      <c r="AM510" s="403"/>
      <c r="AN510" s="401">
        <f t="shared" si="122"/>
        <v>796028.61</v>
      </c>
      <c r="AO510" s="408">
        <f t="shared" si="123"/>
        <v>0</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379885.77</v>
      </c>
      <c r="AG515" s="384"/>
      <c r="AH515" s="385">
        <f t="shared" si="124"/>
        <v>379885.77</v>
      </c>
      <c r="AI515" s="412">
        <f t="shared" si="125"/>
        <v>0</v>
      </c>
      <c r="AJ515" s="411"/>
      <c r="AK515" s="410"/>
      <c r="AL515" s="383">
        <f>SUMIFS(BV_Data_An_Prec!$AN:$AN,BV_Data_An_Prec!$AQ:$AQ,$V515)</f>
        <v>0</v>
      </c>
      <c r="AM515" s="387"/>
      <c r="AN515" s="385">
        <f t="shared" si="122"/>
        <v>379885.77</v>
      </c>
      <c r="AO515" s="388">
        <f t="shared" si="123"/>
        <v>0</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491240.97</v>
      </c>
      <c r="AG516" s="400"/>
      <c r="AH516" s="401">
        <f t="shared" si="124"/>
        <v>491240.97</v>
      </c>
      <c r="AI516" s="402">
        <f t="shared" si="125"/>
        <v>0</v>
      </c>
      <c r="AJ516" s="407"/>
      <c r="AK516" s="406"/>
      <c r="AL516" s="399">
        <f>SUMIFS(BV_Data_An_Prec!$AN:$AN,BV_Data_An_Prec!$AQ:$AQ,$V516)</f>
        <v>0</v>
      </c>
      <c r="AM516" s="403"/>
      <c r="AN516" s="401">
        <f t="shared" si="122"/>
        <v>491240.97</v>
      </c>
      <c r="AO516" s="408">
        <f t="shared" si="123"/>
        <v>0</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228283.63999999998</v>
      </c>
      <c r="AG517" s="400"/>
      <c r="AH517" s="401">
        <f t="shared" si="124"/>
        <v>228283.63999999998</v>
      </c>
      <c r="AI517" s="402">
        <f t="shared" si="125"/>
        <v>0</v>
      </c>
      <c r="AJ517" s="407"/>
      <c r="AK517" s="406"/>
      <c r="AL517" s="399">
        <f>SUMIFS(BV_Data_An_Prec!$AN:$AN,BV_Data_An_Prec!$AQ:$AQ,$V517)</f>
        <v>0</v>
      </c>
      <c r="AM517" s="403"/>
      <c r="AN517" s="401">
        <f t="shared" si="122"/>
        <v>228283.63999999998</v>
      </c>
      <c r="AO517" s="408">
        <f t="shared" si="123"/>
        <v>0</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13430.329999999998</v>
      </c>
      <c r="AG518" s="400"/>
      <c r="AH518" s="401">
        <f t="shared" si="124"/>
        <v>13430.329999999998</v>
      </c>
      <c r="AI518" s="420">
        <f t="shared" si="125"/>
        <v>0</v>
      </c>
      <c r="AJ518" s="407"/>
      <c r="AK518" s="406"/>
      <c r="AL518" s="399">
        <f>SUMIFS(BV_Data_An_Prec!$AN:$AN,BV_Data_An_Prec!$AQ:$AQ,$V518)</f>
        <v>0</v>
      </c>
      <c r="AM518" s="403"/>
      <c r="AN518" s="401">
        <f t="shared" si="122"/>
        <v>13430.329999999998</v>
      </c>
      <c r="AO518" s="408">
        <f t="shared" si="123"/>
        <v>0</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0.43148248354992208</v>
      </c>
      <c r="AE520" s="421"/>
      <c r="AF520" s="416">
        <f>SUM(AF507:AF519)</f>
        <v>3847888.1999999997</v>
      </c>
      <c r="AG520" s="418"/>
      <c r="AH520" s="419">
        <f t="shared" si="124"/>
        <v>3847888.1999999997</v>
      </c>
      <c r="AI520" s="415" t="e">
        <f>AH520/Z520</f>
        <v>#DIV/0!</v>
      </c>
      <c r="AJ520" s="417">
        <f>IF($AL$494=0,0,AL520/$AL$494)</f>
        <v>0</v>
      </c>
      <c r="AK520" s="421"/>
      <c r="AL520" s="416">
        <f>SUM(AL507:AL519)</f>
        <v>0</v>
      </c>
      <c r="AM520" s="423"/>
      <c r="AN520" s="419">
        <f t="shared" si="122"/>
        <v>3847888.1999999997</v>
      </c>
      <c r="AO520" s="396">
        <f t="shared" si="123"/>
        <v>0</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38975.980000000003</v>
      </c>
      <c r="AG521" s="427"/>
      <c r="AH521" s="429">
        <f t="shared" si="124"/>
        <v>38975.980000000003</v>
      </c>
      <c r="AI521" s="430">
        <f t="shared" ref="AI521:AI538" si="129">IF(Z521=0,0,AH521/Z521)</f>
        <v>0</v>
      </c>
      <c r="AJ521" s="427"/>
      <c r="AK521" s="428"/>
      <c r="AL521" s="426">
        <f>SUMIFS(BV_Data_An_Prec!$AN:$AN,BV_Data_An_Prec!$AQ:$AQ,$V521)</f>
        <v>0</v>
      </c>
      <c r="AM521" s="431"/>
      <c r="AN521" s="429">
        <f t="shared" si="122"/>
        <v>38975.980000000003</v>
      </c>
      <c r="AO521" s="404">
        <f t="shared" si="123"/>
        <v>0</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36447.96</v>
      </c>
      <c r="AG522" s="400"/>
      <c r="AH522" s="401">
        <f t="shared" si="124"/>
        <v>36447.96</v>
      </c>
      <c r="AI522" s="402">
        <f t="shared" si="129"/>
        <v>0</v>
      </c>
      <c r="AJ522" s="407"/>
      <c r="AK522" s="406"/>
      <c r="AL522" s="399">
        <f>SUMIFS(BV_Data_An_Prec!$AN:$AN,BV_Data_An_Prec!$AQ:$AQ,$V522)</f>
        <v>0</v>
      </c>
      <c r="AM522" s="403"/>
      <c r="AN522" s="401">
        <f t="shared" si="122"/>
        <v>36447.96</v>
      </c>
      <c r="AO522" s="408">
        <f t="shared" si="123"/>
        <v>0</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118123.27999999998</v>
      </c>
      <c r="AG523" s="384"/>
      <c r="AH523" s="385">
        <f t="shared" si="124"/>
        <v>118123.27999999998</v>
      </c>
      <c r="AI523" s="412">
        <f t="shared" si="129"/>
        <v>0</v>
      </c>
      <c r="AJ523" s="411"/>
      <c r="AK523" s="410"/>
      <c r="AL523" s="383">
        <f>SUMIFS(BV_Data_An_Prec!$AN:$AN,BV_Data_An_Prec!$AQ:$AQ,$V523)</f>
        <v>0</v>
      </c>
      <c r="AM523" s="387"/>
      <c r="AN523" s="385">
        <f t="shared" si="122"/>
        <v>118123.27999999998</v>
      </c>
      <c r="AO523" s="388">
        <f t="shared" si="123"/>
        <v>0</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121938.59999999999</v>
      </c>
      <c r="AG524" s="400"/>
      <c r="AH524" s="401">
        <f t="shared" si="124"/>
        <v>121938.59999999999</v>
      </c>
      <c r="AI524" s="402">
        <f t="shared" si="129"/>
        <v>0</v>
      </c>
      <c r="AJ524" s="407"/>
      <c r="AK524" s="406"/>
      <c r="AL524" s="399">
        <f>SUMIFS(BV_Data_An_Prec!$AN:$AN,BV_Data_An_Prec!$AQ:$AQ,$V524)</f>
        <v>0</v>
      </c>
      <c r="AM524" s="403"/>
      <c r="AN524" s="401">
        <f t="shared" si="122"/>
        <v>121938.59999999999</v>
      </c>
      <c r="AO524" s="408">
        <f t="shared" si="123"/>
        <v>0</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120252.06999999998</v>
      </c>
      <c r="AG525" s="400"/>
      <c r="AH525" s="401">
        <f t="shared" si="124"/>
        <v>120252.06999999998</v>
      </c>
      <c r="AI525" s="402">
        <f t="shared" si="129"/>
        <v>0</v>
      </c>
      <c r="AJ525" s="407"/>
      <c r="AK525" s="406"/>
      <c r="AL525" s="399">
        <f>SUMIFS(BV_Data_An_Prec!$AN:$AN,BV_Data_An_Prec!$AQ:$AQ,$V525)</f>
        <v>0</v>
      </c>
      <c r="AM525" s="403"/>
      <c r="AN525" s="401">
        <f t="shared" si="122"/>
        <v>120252.06999999998</v>
      </c>
      <c r="AO525" s="408">
        <f t="shared" si="123"/>
        <v>0</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318434.86</v>
      </c>
      <c r="AG526" s="400"/>
      <c r="AH526" s="401">
        <f t="shared" si="124"/>
        <v>318434.86</v>
      </c>
      <c r="AI526" s="402">
        <f t="shared" si="129"/>
        <v>0</v>
      </c>
      <c r="AJ526" s="407"/>
      <c r="AK526" s="406"/>
      <c r="AL526" s="399">
        <f>SUMIFS(BV_Data_An_Prec!$AN:$AN,BV_Data_An_Prec!$AQ:$AQ,$V526)</f>
        <v>0</v>
      </c>
      <c r="AM526" s="403"/>
      <c r="AN526" s="401">
        <f t="shared" si="122"/>
        <v>318434.86</v>
      </c>
      <c r="AO526" s="408">
        <f t="shared" si="123"/>
        <v>0</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54447.530000000006</v>
      </c>
      <c r="AG528" s="400"/>
      <c r="AH528" s="401">
        <f t="shared" si="124"/>
        <v>54447.530000000006</v>
      </c>
      <c r="AI528" s="402">
        <f t="shared" si="129"/>
        <v>0</v>
      </c>
      <c r="AJ528" s="407"/>
      <c r="AK528" s="406"/>
      <c r="AL528" s="399">
        <f>SUMIFS(BV_Data_An_Prec!$AN:$AN,BV_Data_An_Prec!$AQ:$AQ,$V528)</f>
        <v>0</v>
      </c>
      <c r="AM528" s="403"/>
      <c r="AN528" s="401">
        <f t="shared" si="122"/>
        <v>54447.530000000006</v>
      </c>
      <c r="AO528" s="408">
        <f t="shared" si="123"/>
        <v>0</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47687.479999999996</v>
      </c>
      <c r="AG530" s="400"/>
      <c r="AH530" s="401">
        <f t="shared" si="124"/>
        <v>47687.479999999996</v>
      </c>
      <c r="AI530" s="402">
        <f t="shared" si="129"/>
        <v>0</v>
      </c>
      <c r="AJ530" s="407"/>
      <c r="AK530" s="406"/>
      <c r="AL530" s="399">
        <f>SUMIFS(BV_Data_An_Prec!$AN:$AN,BV_Data_An_Prec!$AQ:$AQ,$V530)</f>
        <v>0</v>
      </c>
      <c r="AM530" s="403"/>
      <c r="AN530" s="401">
        <f t="shared" si="122"/>
        <v>47687.479999999996</v>
      </c>
      <c r="AO530" s="408">
        <f t="shared" si="123"/>
        <v>0</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31637.77</v>
      </c>
      <c r="AG531" s="400"/>
      <c r="AH531" s="401">
        <f t="shared" si="124"/>
        <v>31637.77</v>
      </c>
      <c r="AI531" s="420">
        <f t="shared" si="129"/>
        <v>0</v>
      </c>
      <c r="AJ531" s="407"/>
      <c r="AK531" s="406"/>
      <c r="AL531" s="399">
        <f>SUMIFS(BV_Data_An_Prec!$AN:$AN,BV_Data_An_Prec!$AQ:$AQ,$V531)</f>
        <v>0</v>
      </c>
      <c r="AM531" s="403"/>
      <c r="AN531" s="401">
        <f t="shared" si="122"/>
        <v>31637.77</v>
      </c>
      <c r="AO531" s="408">
        <f t="shared" si="123"/>
        <v>0</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40096.269999999997</v>
      </c>
      <c r="AG532" s="400"/>
      <c r="AH532" s="401">
        <f t="shared" si="124"/>
        <v>40096.269999999997</v>
      </c>
      <c r="AI532" s="402">
        <f t="shared" si="129"/>
        <v>0</v>
      </c>
      <c r="AJ532" s="407"/>
      <c r="AK532" s="406"/>
      <c r="AL532" s="399">
        <f>SUMIFS(BV_Data_An_Prec!$AN:$AN,BV_Data_An_Prec!$AQ:$AQ,$V532)</f>
        <v>0</v>
      </c>
      <c r="AM532" s="403"/>
      <c r="AN532" s="401">
        <f t="shared" si="122"/>
        <v>40096.269999999997</v>
      </c>
      <c r="AO532" s="408">
        <f t="shared" si="123"/>
        <v>0</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98223.58</v>
      </c>
      <c r="AG533" s="400"/>
      <c r="AH533" s="401">
        <f t="shared" si="124"/>
        <v>98223.58</v>
      </c>
      <c r="AI533" s="420">
        <f t="shared" si="129"/>
        <v>0</v>
      </c>
      <c r="AJ533" s="407"/>
      <c r="AK533" s="406"/>
      <c r="AL533" s="399">
        <f>SUMIFS(BV_Data_An_Prec!$AN:$AN,BV_Data_An_Prec!$AQ:$AQ,$V533)</f>
        <v>0</v>
      </c>
      <c r="AM533" s="403"/>
      <c r="AN533" s="401">
        <f t="shared" si="122"/>
        <v>98223.58</v>
      </c>
      <c r="AO533" s="408">
        <f t="shared" si="123"/>
        <v>0</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44801.81</v>
      </c>
      <c r="AG534" s="400"/>
      <c r="AH534" s="401">
        <f t="shared" si="124"/>
        <v>44801.81</v>
      </c>
      <c r="AI534" s="402">
        <f t="shared" si="129"/>
        <v>0</v>
      </c>
      <c r="AJ534" s="407"/>
      <c r="AK534" s="406"/>
      <c r="AL534" s="399">
        <f>SUMIFS(BV_Data_An_Prec!$AN:$AN,BV_Data_An_Prec!$AQ:$AQ,$V534)</f>
        <v>0</v>
      </c>
      <c r="AM534" s="403"/>
      <c r="AN534" s="401">
        <f t="shared" si="122"/>
        <v>44801.81</v>
      </c>
      <c r="AO534" s="408">
        <f t="shared" si="123"/>
        <v>0</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14248.57</v>
      </c>
      <c r="AG535" s="400"/>
      <c r="AH535" s="659">
        <f t="shared" si="124"/>
        <v>14248.57</v>
      </c>
      <c r="AI535" s="402">
        <f t="shared" si="129"/>
        <v>0</v>
      </c>
      <c r="AJ535" s="407"/>
      <c r="AK535" s="406"/>
      <c r="AL535" s="399">
        <f>SUMIFS(BV_Data_An_Prec!$AN:$AN,BV_Data_An_Prec!$AQ:$AQ,$V535)</f>
        <v>0</v>
      </c>
      <c r="AM535" s="403"/>
      <c r="AN535" s="401">
        <f t="shared" si="122"/>
        <v>14248.57</v>
      </c>
      <c r="AO535" s="408">
        <f t="shared" si="123"/>
        <v>0</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3148</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0.12170175307085877</v>
      </c>
      <c r="AE539" s="414"/>
      <c r="AF539" s="416">
        <f>+SUM(AF521:AF538)</f>
        <v>1085315.76</v>
      </c>
      <c r="AG539" s="422"/>
      <c r="AH539" s="435">
        <f>+SUM(AH521:AH538)</f>
        <v>1085315.76</v>
      </c>
      <c r="AI539" s="415" t="e">
        <f>AH539/Z539</f>
        <v>#DIV/0!</v>
      </c>
      <c r="AJ539" s="417">
        <f>IF($AL$494=0,0,AL539/$AL$494)</f>
        <v>0</v>
      </c>
      <c r="AK539" s="414"/>
      <c r="AL539" s="416">
        <f>+SUM(AL521:AL538)</f>
        <v>0</v>
      </c>
      <c r="AM539" s="423"/>
      <c r="AN539" s="419">
        <f t="shared" si="122"/>
        <v>1085315.76</v>
      </c>
      <c r="AO539" s="436">
        <f t="shared" si="123"/>
        <v>0</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1119723.5799999998</v>
      </c>
      <c r="AG540" s="400"/>
      <c r="AH540" s="401">
        <f t="shared" ref="AH540:AH548" si="132">AF540-Z540</f>
        <v>1119723.5799999998</v>
      </c>
      <c r="AI540" s="402">
        <f t="shared" ref="AI540:AI548" si="133">IF(Z540=0,0,AH540/Z540)</f>
        <v>0</v>
      </c>
      <c r="AJ540" s="407"/>
      <c r="AK540" s="406"/>
      <c r="AL540" s="399">
        <f>SUMIFS(BV_Data_An_Prec!$AN:$AN,BV_Data_An_Prec!$AQ:$AQ,$V540)</f>
        <v>0</v>
      </c>
      <c r="AM540" s="403"/>
      <c r="AN540" s="401">
        <f t="shared" si="122"/>
        <v>1119723.5799999998</v>
      </c>
      <c r="AO540" s="408">
        <f t="shared" si="123"/>
        <v>0</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96220</v>
      </c>
      <c r="AG541" s="400"/>
      <c r="AH541" s="401">
        <f t="shared" si="132"/>
        <v>96220</v>
      </c>
      <c r="AI541" s="402">
        <f t="shared" si="133"/>
        <v>0</v>
      </c>
      <c r="AJ541" s="407"/>
      <c r="AK541" s="406"/>
      <c r="AL541" s="399">
        <f>SUMIFS(BV_Data_An_Prec!$AN:$AN,BV_Data_An_Prec!$AQ:$AQ,$V541)</f>
        <v>0</v>
      </c>
      <c r="AM541" s="403"/>
      <c r="AN541" s="401">
        <f t="shared" si="122"/>
        <v>96220</v>
      </c>
      <c r="AO541" s="408">
        <f t="shared" si="123"/>
        <v>0</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109907.52</v>
      </c>
      <c r="AG542" s="384"/>
      <c r="AH542" s="385">
        <f t="shared" si="132"/>
        <v>109907.52</v>
      </c>
      <c r="AI542" s="412">
        <f t="shared" si="133"/>
        <v>0</v>
      </c>
      <c r="AJ542" s="411"/>
      <c r="AK542" s="410"/>
      <c r="AL542" s="383">
        <f>SUMIFS(BV_Data_An_Prec!$AN:$AN,BV_Data_An_Prec!$AQ:$AQ,$V542)</f>
        <v>0</v>
      </c>
      <c r="AM542" s="387"/>
      <c r="AN542" s="385">
        <f t="shared" si="122"/>
        <v>109907.52</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130736.1</v>
      </c>
      <c r="AG544" s="384"/>
      <c r="AH544" s="385">
        <f t="shared" si="132"/>
        <v>130736.1</v>
      </c>
      <c r="AI544" s="412">
        <f t="shared" si="133"/>
        <v>0</v>
      </c>
      <c r="AJ544" s="411"/>
      <c r="AK544" s="410"/>
      <c r="AL544" s="383">
        <f>SUMIFS(BV_Data_An_Prec!$AN:$AN,BV_Data_An_Prec!$AQ:$AQ,$V544)</f>
        <v>0</v>
      </c>
      <c r="AM544" s="387"/>
      <c r="AN544" s="385">
        <f t="shared" si="122"/>
        <v>130736.1</v>
      </c>
      <c r="AO544" s="388">
        <f t="shared" si="123"/>
        <v>0</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90643.95</v>
      </c>
      <c r="AG545" s="400"/>
      <c r="AH545" s="401">
        <f t="shared" si="132"/>
        <v>90643.95</v>
      </c>
      <c r="AI545" s="402">
        <f t="shared" si="133"/>
        <v>0</v>
      </c>
      <c r="AJ545" s="407"/>
      <c r="AK545" s="406"/>
      <c r="AL545" s="399">
        <f>SUMIFS(BV_Data_An_Prec!$AN:$AN,BV_Data_An_Prec!$AQ:$AQ,$V545)</f>
        <v>0</v>
      </c>
      <c r="AM545" s="403"/>
      <c r="AN545" s="401">
        <f t="shared" si="122"/>
        <v>90643.95</v>
      </c>
      <c r="AO545" s="408">
        <f t="shared" si="123"/>
        <v>0</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39001.300000000003</v>
      </c>
      <c r="AG546" s="400"/>
      <c r="AH546" s="401">
        <f t="shared" si="132"/>
        <v>39001.300000000003</v>
      </c>
      <c r="AI546" s="402">
        <f t="shared" si="133"/>
        <v>0</v>
      </c>
      <c r="AJ546" s="407"/>
      <c r="AK546" s="406"/>
      <c r="AL546" s="399">
        <f>SUMIFS(BV_Data_An_Prec!$AN:$AN,BV_Data_An_Prec!$AQ:$AQ,$V546)</f>
        <v>0</v>
      </c>
      <c r="AM546" s="403"/>
      <c r="AN546" s="401">
        <f t="shared" si="122"/>
        <v>39001.300000000003</v>
      </c>
      <c r="AO546" s="408">
        <f t="shared" si="123"/>
        <v>0</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67328.61</v>
      </c>
      <c r="AG547" s="384"/>
      <c r="AH547" s="385">
        <f t="shared" si="132"/>
        <v>67328.61</v>
      </c>
      <c r="AI547" s="412">
        <f t="shared" si="133"/>
        <v>0</v>
      </c>
      <c r="AJ547" s="411"/>
      <c r="AK547" s="410"/>
      <c r="AL547" s="383">
        <f>SUMIFS(BV_Data_An_Prec!$AN:$AN,BV_Data_An_Prec!$AQ:$AQ,$V547)</f>
        <v>0</v>
      </c>
      <c r="AM547" s="387"/>
      <c r="AN547" s="385">
        <f t="shared" si="122"/>
        <v>67328.61</v>
      </c>
      <c r="AO547" s="388">
        <f t="shared" si="123"/>
        <v>0</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8285.630000000001</v>
      </c>
      <c r="AG548" s="400"/>
      <c r="AH548" s="401">
        <f t="shared" si="132"/>
        <v>8285.630000000001</v>
      </c>
      <c r="AI548" s="439">
        <f t="shared" si="133"/>
        <v>0</v>
      </c>
      <c r="AJ548" s="407"/>
      <c r="AK548" s="406"/>
      <c r="AL548" s="399">
        <f>SUMIFS(BV_Data_An_Prec!$AN:$AN,BV_Data_An_Prec!$AQ:$AQ,$V548)</f>
        <v>0</v>
      </c>
      <c r="AM548" s="403"/>
      <c r="AN548" s="401">
        <f t="shared" si="122"/>
        <v>8285.630000000001</v>
      </c>
      <c r="AO548" s="408">
        <f t="shared" si="123"/>
        <v>0</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0.18635098002078582</v>
      </c>
      <c r="AE553" s="414"/>
      <c r="AF553" s="416">
        <f>SUM(AF540:AF552)</f>
        <v>1661846.69</v>
      </c>
      <c r="AG553" s="422"/>
      <c r="AH553" s="435">
        <f>SUM(AH540:AH552)</f>
        <v>1661846.69</v>
      </c>
      <c r="AI553" s="415">
        <f>IF(Z553=0,0,AH553/Z553)</f>
        <v>0</v>
      </c>
      <c r="AJ553" s="417">
        <f>IF($AL$494=0,0,AL553/$AL$494)</f>
        <v>0</v>
      </c>
      <c r="AK553" s="414"/>
      <c r="AL553" s="416">
        <f>SUM(AL540:AL552)</f>
        <v>0</v>
      </c>
      <c r="AM553" s="423"/>
      <c r="AN553" s="419">
        <f t="shared" si="122"/>
        <v>1661846.69</v>
      </c>
      <c r="AO553" s="436">
        <f t="shared" si="123"/>
        <v>0</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0.64793897990295879</v>
      </c>
      <c r="AE555" s="414"/>
      <c r="AF555" s="416">
        <f>AF506+AF520+AF539+AF553</f>
        <v>5778210.8200000003</v>
      </c>
      <c r="AG555" s="422"/>
      <c r="AH555" s="435">
        <f t="shared" si="134"/>
        <v>5778210.8200000003</v>
      </c>
      <c r="AI555" s="415" t="e">
        <f>AH555/Z555</f>
        <v>#DIV/0!</v>
      </c>
      <c r="AJ555" s="417">
        <f>IF($AL$494=0,0,AL555/$AL$494)</f>
        <v>0</v>
      </c>
      <c r="AK555" s="414"/>
      <c r="AL555" s="416">
        <f>AL506+AL520+AL539+AL553</f>
        <v>0</v>
      </c>
      <c r="AM555" s="423"/>
      <c r="AN555" s="419">
        <f t="shared" ref="AN555:AN568" si="135">AF555-AL555</f>
        <v>5778210.8200000003</v>
      </c>
      <c r="AO555" s="396">
        <f t="shared" ref="AO555:AO568" si="136">IF(AL555=0,0,AN555/AL555)</f>
        <v>0</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423871.98</v>
      </c>
      <c r="AG556" s="446"/>
      <c r="AH556" s="401">
        <f t="shared" si="134"/>
        <v>423871.98</v>
      </c>
      <c r="AI556" s="439" t="e">
        <f>IF(AH556=0,0,AH556/Z556)</f>
        <v>#DIV/0!</v>
      </c>
      <c r="AJ556" s="445"/>
      <c r="AK556" s="444"/>
      <c r="AL556" s="426">
        <f>-SUMIFS(BV_Data_An_Prec!$AN:$AN,BV_Data_An_Prec!$AQ:$AQ,$V556)</f>
        <v>0</v>
      </c>
      <c r="AM556" s="447"/>
      <c r="AN556" s="401">
        <f t="shared" si="135"/>
        <v>423871.98</v>
      </c>
      <c r="AO556" s="408">
        <f t="shared" si="136"/>
        <v>0</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3136</v>
      </c>
      <c r="W558" s="398"/>
      <c r="X558" s="398"/>
      <c r="Y558" s="398"/>
      <c r="Z558" s="399">
        <f t="shared" si="137"/>
        <v>0</v>
      </c>
      <c r="AA558" s="437"/>
      <c r="AB558" s="438"/>
      <c r="AC558" s="399"/>
      <c r="AD558" s="451"/>
      <c r="AF558" s="399">
        <f t="shared" si="138"/>
        <v>284966.53000000003</v>
      </c>
      <c r="AG558" s="450"/>
      <c r="AH558" s="401">
        <f t="shared" si="134"/>
        <v>284966.53000000003</v>
      </c>
      <c r="AI558" s="420" t="e">
        <f t="shared" ref="AI558:AI567" si="139">IF(AH558=0,0,AH558/Z558)</f>
        <v>#DIV/0!</v>
      </c>
      <c r="AJ558" s="451"/>
      <c r="AL558" s="399">
        <f>-SUMIFS(BV_Data_An_Prec!$AN:$AN,BV_Data_An_Prec!$AQ:$AQ,$V558)</f>
        <v>0</v>
      </c>
      <c r="AM558" s="448"/>
      <c r="AN558" s="401">
        <f t="shared" si="135"/>
        <v>284966.53000000003</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7.9485521624725552E-2</v>
      </c>
      <c r="AE568" s="434"/>
      <c r="AF568" s="416">
        <f>SUM(AF556:AF567)</f>
        <v>708838.51</v>
      </c>
      <c r="AG568" s="422"/>
      <c r="AH568" s="419">
        <f t="shared" si="134"/>
        <v>708838.51</v>
      </c>
      <c r="AI568" s="415" t="e">
        <f>AH568/Z568</f>
        <v>#DIV/0!</v>
      </c>
      <c r="AJ568" s="415"/>
      <c r="AK568" s="434"/>
      <c r="AL568" s="416">
        <f>SUM(AL556:AL567)</f>
        <v>0</v>
      </c>
      <c r="AM568" s="453"/>
      <c r="AN568" s="419">
        <f t="shared" si="135"/>
        <v>708838.51</v>
      </c>
      <c r="AO568" s="436">
        <f t="shared" si="136"/>
        <v>0</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1.794270016849462E-2</v>
      </c>
      <c r="AF570" s="468">
        <f>AF494-AF555+AF568</f>
        <v>3848459.4600000046</v>
      </c>
      <c r="AG570" s="470"/>
      <c r="AH570" s="470" t="e">
        <f>AF570-Z570</f>
        <v>#REF!</v>
      </c>
      <c r="AI570" s="471" t="e">
        <f>AH570/Z570</f>
        <v>#REF!</v>
      </c>
      <c r="AJ570" s="466" t="s">
        <v>215</v>
      </c>
      <c r="AK570" s="467">
        <f>IF($AL$493=0,0,AL570/$AL$493)</f>
        <v>0</v>
      </c>
      <c r="AL570" s="468">
        <f>AL494-AL555+AL568</f>
        <v>0</v>
      </c>
      <c r="AM570" s="472"/>
      <c r="AN570" s="469">
        <f>AF570-AL570</f>
        <v>3848459.4600000046</v>
      </c>
      <c r="AO570" s="473">
        <f>IF(AL570=0,0,AN570/AL570)</f>
        <v>0</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Octobre 2025</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2.3636435344682537E-2</v>
      </c>
      <c r="AF575" s="752">
        <f>AF576+AF502</f>
        <v>5069686.4100000048</v>
      </c>
      <c r="AG575" s="470"/>
      <c r="AH575" s="470" t="e">
        <f t="shared" ref="AH575" si="140">AF575-Z575</f>
        <v>#REF!</v>
      </c>
      <c r="AI575" s="471" t="e">
        <f>AH575/Z575</f>
        <v>#REF!</v>
      </c>
      <c r="AJ575" s="750" t="s">
        <v>215</v>
      </c>
      <c r="AK575" s="751">
        <f>IF($AL$493=0,0,AL575/$AL$493)</f>
        <v>0</v>
      </c>
      <c r="AL575" s="752">
        <f>AL576+AL502</f>
        <v>0</v>
      </c>
      <c r="AM575" s="472"/>
      <c r="AN575" s="752">
        <f t="shared" ref="AN575:AN585" si="141">AF575-AL575</f>
        <v>5069686.4100000048</v>
      </c>
      <c r="AO575" s="753">
        <f t="shared" ref="AO575:AO585" si="142">IF(AL575=0,0,AN575/AL575)</f>
        <v>0</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1.794270016849462E-2</v>
      </c>
      <c r="AF576" s="468">
        <f>AF570</f>
        <v>3848459.4600000046</v>
      </c>
      <c r="AG576" s="469"/>
      <c r="AH576" s="470" t="e">
        <f>AF576-Z576</f>
        <v>#REF!</v>
      </c>
      <c r="AI576" s="471" t="e">
        <f>AH576/Z576</f>
        <v>#REF!</v>
      </c>
      <c r="AJ576" s="466" t="s">
        <v>215</v>
      </c>
      <c r="AK576" s="467">
        <f>IF($AL$493=0,0,AL576/$AL$493)</f>
        <v>0</v>
      </c>
      <c r="AL576" s="468">
        <f>AL570</f>
        <v>0</v>
      </c>
      <c r="AM576" s="474"/>
      <c r="AN576" s="475">
        <f t="shared" si="141"/>
        <v>3848459.4600000046</v>
      </c>
      <c r="AO576" s="476">
        <f t="shared" si="142"/>
        <v>0</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112296.22</v>
      </c>
      <c r="AG578" s="398"/>
      <c r="AH578" s="401">
        <f t="shared" ref="AH578:AH585" si="143">AF578-Z578</f>
        <v>112296.22</v>
      </c>
      <c r="AI578" s="420">
        <f t="shared" ref="AI578:AI584" si="144">IF(Z578=0,0,AH578/Z578)</f>
        <v>0</v>
      </c>
      <c r="AJ578" s="398"/>
      <c r="AK578" s="406"/>
      <c r="AL578" s="399">
        <f>SUMIFS(BV_Data_An_Prec!$AN:$AN,BV_Data_An_Prec!$AQ:$AQ,$V578)</f>
        <v>0</v>
      </c>
      <c r="AM578" s="403"/>
      <c r="AN578" s="401">
        <f t="shared" si="141"/>
        <v>112296.22</v>
      </c>
      <c r="AO578" s="408">
        <f t="shared" si="142"/>
        <v>0</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1.7419140695812709E-2</v>
      </c>
      <c r="AF585" s="468">
        <f>AF576-AF578-AF579-AF580-AF584-AF583</f>
        <v>3736163.2400000044</v>
      </c>
      <c r="AG585" s="470"/>
      <c r="AH585" s="470" t="e">
        <f t="shared" si="143"/>
        <v>#REF!</v>
      </c>
      <c r="AI585" s="471" t="e">
        <f>AH585/Z585</f>
        <v>#REF!</v>
      </c>
      <c r="AJ585" s="466" t="s">
        <v>215</v>
      </c>
      <c r="AK585" s="467">
        <f>IF($AL$493=0,0,AL585/$AL$493)</f>
        <v>0</v>
      </c>
      <c r="AL585" s="468">
        <f>AL576-AL578-AL579-AL580-AL584-AL583</f>
        <v>0</v>
      </c>
      <c r="AM585" s="472"/>
      <c r="AN585" s="469">
        <f t="shared" si="141"/>
        <v>3736163.2400000044</v>
      </c>
      <c r="AO585" s="482">
        <f t="shared" si="142"/>
        <v>0</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3736168</v>
      </c>
      <c r="AL589" s="904"/>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s="1051">
        <f>AF585-AF589</f>
        <v>-4.759999995585531</v>
      </c>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G171:I171"/>
    <mergeCell ref="J171:L171"/>
    <mergeCell ref="M171:N171"/>
    <mergeCell ref="O171:Q171"/>
    <mergeCell ref="R171:S171"/>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O312:Q312"/>
    <mergeCell ref="R312:S312"/>
    <mergeCell ref="G434:I434"/>
    <mergeCell ref="J434:L434"/>
    <mergeCell ref="M434:N434"/>
    <mergeCell ref="O434:Q434"/>
    <mergeCell ref="D312:F312"/>
    <mergeCell ref="G312:I312"/>
    <mergeCell ref="J312:L312"/>
    <mergeCell ref="M312:N312"/>
    <mergeCell ref="G244:I244"/>
    <mergeCell ref="J244:L244"/>
    <mergeCell ref="M244:N244"/>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Octobre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SUMIFS(BV_Data_An_Cour!$AW:$AW,BV_Data_An_Cour!$AO:$AO,$Y6)</f>
        <v>57</v>
      </c>
      <c r="M6" s="659">
        <f>-SUMIFS(BV_Data_An_Cour!$AM:$AM,BV_Data_An_Cour!$AO:$AO,$Y6)</f>
        <v>47879.179999999993</v>
      </c>
      <c r="N6" s="1038">
        <f>IFERROR(O6/M6,0)</f>
        <v>0.58798375410773529</v>
      </c>
      <c r="O6" s="997">
        <f>-SUMIFS(BV_Data_An_Cour!$AM:$AM,BV_Data_An_Cour!$AO:$AO,$Y6)-SUMIFS(BV_Data_An_Cour!$AM:$AM,BV_Data_An_Cour!$AO:$AO,$Z6)</f>
        <v>28152.179999999993</v>
      </c>
      <c r="P6" s="1039">
        <f>IFERROR((M6-E6)/E6,0)</f>
        <v>0</v>
      </c>
      <c r="Q6" s="997">
        <f>O6-G6</f>
        <v>28152.179999999993</v>
      </c>
      <c r="R6" s="996">
        <f>SUMIFS(BV_Data_An_Prec!$AW:$AW,BV_Data_An_Prec!$AO:$AO,$Y6)</f>
        <v>0</v>
      </c>
      <c r="S6" s="659">
        <f>-SUMIFS(BV_Data_An_Prec!$AM:$AM,BV_Data_An_Prec!$AO:$AO,$Y6)</f>
        <v>0</v>
      </c>
      <c r="T6" s="1038">
        <f>IFERROR(U6/S6,0)</f>
        <v>0</v>
      </c>
      <c r="U6" s="997">
        <f>-SUMIFS(BV_Data_An_Prec!$AM:$AM,BV_Data_An_Prec!$AO:$AO,$Y6)-SUMIFS(BV_Data_An_Prec!$AM:$AM,BV_Data_An_Prec!$AO:$AO,$Z6)</f>
        <v>0</v>
      </c>
      <c r="V6" s="1039">
        <f>IF(R6=0,0,L6/R6)</f>
        <v>0</v>
      </c>
      <c r="W6" s="997">
        <f>O6-U6</f>
        <v>28152.179999999993</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SUMIFS(BV_Data_An_Cour!$AW:$AW,BV_Data_An_Cour!$AO:$AO,$Y7)</f>
        <v>0</v>
      </c>
      <c r="M7" s="659">
        <f>-SUMIFS(BV_Data_An_Cour!$AM:$AM,BV_Data_An_Cour!$AO:$AO,$Y7)</f>
        <v>0</v>
      </c>
      <c r="N7" s="1038">
        <f t="shared" ref="N7:N13" si="0">IFERROR(O7/M7,0)</f>
        <v>0</v>
      </c>
      <c r="O7" s="997">
        <f>-SUMIFS(BV_Data_An_Cour!$AM:$AM,BV_Data_An_Cour!$AO:$AO,$Y7)-SUMIFS(BV_Data_An_Cour!$AM:$AM,BV_Data_An_Cour!$AO:$AO,$Z7)</f>
        <v>0</v>
      </c>
      <c r="P7" s="1039">
        <f t="shared" ref="P7:P12" si="1">IFERROR((M7-E7)/E7,0)</f>
        <v>0</v>
      </c>
      <c r="Q7" s="997">
        <f t="shared" ref="Q7:Q12" si="2">O7-G7</f>
        <v>0</v>
      </c>
      <c r="R7" s="995">
        <f>SUMIFS(BV_Data_An_Prec!$AW:$AW,BV_Data_An_Prec!$AO:$AO,$Y7)</f>
        <v>0</v>
      </c>
      <c r="S7" s="1037">
        <f>-SUMIFS(BV_Data_An_Prec!$AM:$AM,BV_Data_An_Prec!$AO:$AO,$Y7)</f>
        <v>0</v>
      </c>
      <c r="T7" s="1038">
        <f t="shared" ref="T7:T12" si="3">IFERROR(U7/S7,0)</f>
        <v>0</v>
      </c>
      <c r="U7" s="998">
        <f>-SUMIFS(BV_Data_An_Prec!$AM:$AM,BV_Data_An_Prec!$AO:$AO,$Y7)-SUMIFS(BV_Data_An_Prec!$AM:$AM,BV_Data_An_Prec!$AO:$AO,$Z7)</f>
        <v>0</v>
      </c>
      <c r="V7" s="1039">
        <f t="shared" ref="V7:V12" si="4">IF(R7=0,0,L7/R7)</f>
        <v>0</v>
      </c>
      <c r="W7" s="997">
        <f t="shared" ref="W7:W12" si="5">O7-U7</f>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SUMIFS(BV_Data_An_Cour!$AW:$AW,BV_Data_An_Cour!$AO:$AO,$Y8)</f>
        <v>0</v>
      </c>
      <c r="M8" s="659">
        <f>-SUMIFS(BV_Data_An_Cour!$AM:$AM,BV_Data_An_Cour!$AO:$AO,$Y8)</f>
        <v>0</v>
      </c>
      <c r="N8" s="1038">
        <f t="shared" si="0"/>
        <v>0</v>
      </c>
      <c r="O8" s="997">
        <f>-SUMIFS(BV_Data_An_Cour!$AM:$AM,BV_Data_An_Cour!$AO:$AO,$Y8)-SUMIFS(BV_Data_An_Cour!$AM:$AM,BV_Data_An_Cour!$AO:$AO,$Z8)</f>
        <v>0</v>
      </c>
      <c r="P8" s="1039">
        <f t="shared" si="1"/>
        <v>0</v>
      </c>
      <c r="Q8" s="997">
        <f t="shared" si="2"/>
        <v>0</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f t="shared" si="5"/>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SUMIFS(BV_Data_An_Cour!$AW:$AW,BV_Data_An_Cour!$AO:$AO,$Y9)</f>
        <v>0</v>
      </c>
      <c r="M9" s="659">
        <f>-SUMIFS(BV_Data_An_Cour!$AM:$AM,BV_Data_An_Cour!$AO:$AO,$Y9)</f>
        <v>0</v>
      </c>
      <c r="N9" s="1038">
        <f t="shared" si="0"/>
        <v>0</v>
      </c>
      <c r="O9" s="997">
        <f>-SUMIFS(BV_Data_An_Cour!$AM:$AM,BV_Data_An_Cour!$AO:$AO,$Y9)-SUMIFS(BV_Data_An_Cour!$AM:$AM,BV_Data_An_Cour!$AO:$AO,$Z9)</f>
        <v>0</v>
      </c>
      <c r="P9" s="1039">
        <f t="shared" si="1"/>
        <v>0</v>
      </c>
      <c r="Q9" s="997">
        <f t="shared" si="2"/>
        <v>0</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f t="shared" si="5"/>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SUMIFS(BV_Data_An_Cour!$AW:$AW,BV_Data_An_Cour!$AO:$AO,$Y10)</f>
        <v>54</v>
      </c>
      <c r="M10" s="659">
        <f>-SUMIFS(BV_Data_An_Cour!$AM:$AM,BV_Data_An_Cour!$AO:$AO,$Y10)</f>
        <v>20112.760000000009</v>
      </c>
      <c r="N10" s="1038">
        <f t="shared" si="0"/>
        <v>0.744357313466675</v>
      </c>
      <c r="O10" s="997">
        <f>-SUMIFS(BV_Data_An_Cour!$AM:$AM,BV_Data_An_Cour!$AO:$AO,$Y10)-SUMIFS(BV_Data_An_Cour!$AM:$AM,BV_Data_An_Cour!$AO:$AO,$Z10)</f>
        <v>14971.080000000009</v>
      </c>
      <c r="P10" s="1039">
        <f t="shared" si="1"/>
        <v>0</v>
      </c>
      <c r="Q10" s="997">
        <f t="shared" si="2"/>
        <v>14971.080000000009</v>
      </c>
      <c r="R10" s="995">
        <f>SUMIFS(BV_Data_An_Prec!$AW:$AW,BV_Data_An_Prec!$AO:$AO,$Y10)</f>
        <v>0</v>
      </c>
      <c r="S10" s="1037">
        <f>-SUMIFS(BV_Data_An_Prec!$AM:$AM,BV_Data_An_Prec!$AO:$AO,$Y10)</f>
        <v>0</v>
      </c>
      <c r="T10" s="1038">
        <f t="shared" si="3"/>
        <v>0</v>
      </c>
      <c r="U10" s="998">
        <f>-SUMIFS(BV_Data_An_Prec!$AM:$AM,BV_Data_An_Prec!$AO:$AO,$Y10)-SUMIFS(BV_Data_An_Prec!$AM:$AM,BV_Data_An_Prec!$AO:$AO,$Z10)</f>
        <v>0</v>
      </c>
      <c r="V10" s="1039">
        <f t="shared" si="4"/>
        <v>0</v>
      </c>
      <c r="W10" s="997">
        <f t="shared" si="5"/>
        <v>14971.080000000009</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SUMIFS(BV_Data_An_Cour!$AW:$AW,BV_Data_An_Cour!$AO:$AO,$Y11)</f>
        <v>0</v>
      </c>
      <c r="M11" s="659">
        <f>-SUMIFS(BV_Data_An_Cour!$AM:$AM,BV_Data_An_Cour!$AO:$AO,$Y11)</f>
        <v>0</v>
      </c>
      <c r="N11" s="1038">
        <f t="shared" si="0"/>
        <v>0</v>
      </c>
      <c r="O11" s="997">
        <f>-SUMIFS(BV_Data_An_Cour!$AM:$AM,BV_Data_An_Cour!$AO:$AO,$Y11)-SUMIFS(BV_Data_An_Cour!$AM:$AM,BV_Data_An_Cour!$AO:$AO,$Z11)</f>
        <v>0</v>
      </c>
      <c r="P11" s="1039">
        <f t="shared" si="1"/>
        <v>0</v>
      </c>
      <c r="Q11" s="997">
        <f t="shared" si="2"/>
        <v>0</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f t="shared" si="5"/>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SUMIFS(BV_Data_An_Cour!$AW:$AW,BV_Data_An_Cour!$AO:$AO,$Y12)</f>
        <v>32</v>
      </c>
      <c r="M12" s="659">
        <f>-SUMIFS(BV_Data_An_Cour!$AM:$AM,BV_Data_An_Cour!$AO:$AO,$Y12)</f>
        <v>70561.770000000019</v>
      </c>
      <c r="N12" s="1038">
        <f t="shared" si="0"/>
        <v>0.24978114919736275</v>
      </c>
      <c r="O12" s="997">
        <f>-SUMIFS(BV_Data_An_Cour!$AM:$AM,BV_Data_An_Cour!$AO:$AO,$Y12)-SUMIFS(BV_Data_An_Cour!$AM:$AM,BV_Data_An_Cour!$AO:$AO,$Z12)</f>
        <v>17625</v>
      </c>
      <c r="P12" s="1003">
        <f t="shared" si="1"/>
        <v>0</v>
      </c>
      <c r="Q12" s="1004">
        <f t="shared" si="2"/>
        <v>17625</v>
      </c>
      <c r="R12" s="1000">
        <f>SUMIFS(BV_Data_An_Prec!$AW:$AW,BV_Data_An_Prec!$AO:$AO,$Y12)</f>
        <v>0</v>
      </c>
      <c r="S12" s="1005">
        <f>-SUMIFS(BV_Data_An_Prec!$AM:$AM,BV_Data_An_Prec!$AO:$AO,$Y12)</f>
        <v>0</v>
      </c>
      <c r="T12" s="1038">
        <f t="shared" si="3"/>
        <v>0</v>
      </c>
      <c r="U12" s="1006">
        <f>-SUMIFS(BV_Data_An_Prec!$AM:$AM,BV_Data_An_Prec!$AO:$AO,$Y12)-SUMIFS(BV_Data_An_Prec!$AM:$AM,BV_Data_An_Prec!$AO:$AO,$Z12)</f>
        <v>0</v>
      </c>
      <c r="V12" s="1003">
        <f t="shared" si="4"/>
        <v>0</v>
      </c>
      <c r="W12" s="1004">
        <f t="shared" si="5"/>
        <v>17625</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138553.71000000002</v>
      </c>
      <c r="N13" s="1009">
        <f t="shared" si="0"/>
        <v>0.43844556742652357</v>
      </c>
      <c r="O13" s="1008">
        <f>SUM(O6:O12)</f>
        <v>60748.26</v>
      </c>
      <c r="P13" s="1012">
        <f>IFERROR((M13-E13)/E13,0)</f>
        <v>0</v>
      </c>
      <c r="Q13" s="1013">
        <f>O13-G13</f>
        <v>60748.26</v>
      </c>
      <c r="R13" s="1011"/>
      <c r="S13" s="1008">
        <f>SUM(S6:S12)</f>
        <v>0</v>
      </c>
      <c r="T13" s="1009">
        <f t="shared" ref="T13" si="6">IFERROR(U13/S13,0)</f>
        <v>0</v>
      </c>
      <c r="U13" s="1008">
        <f>SUM(U6:U12)</f>
        <v>0</v>
      </c>
      <c r="V13" s="1012">
        <f>IF(R13=0,0,L13/R13)</f>
        <v>0</v>
      </c>
      <c r="W13" s="1013">
        <f>O13-U13</f>
        <v>60748.26</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SUMIFS(BV_Data_An_Cour!$AW:$AW,BV_Data_An_Cour!$AO:$AO,$Y15)</f>
        <v>14</v>
      </c>
      <c r="M15" s="659">
        <f>-SUMIFS(BV_Data_An_Cour!$AM:$AM,BV_Data_An_Cour!$AO:$AO,$Y15)</f>
        <v>6016.510000000002</v>
      </c>
      <c r="N15" s="1038">
        <f>IFERROR(O15/M15,0)</f>
        <v>0.49610820891181118</v>
      </c>
      <c r="O15" s="997">
        <f>-SUMIFS(BV_Data_An_Cour!$AM:$AM,BV_Data_An_Cour!$AO:$AO,$Y15)-SUMIFS(BV_Data_An_Cour!$AM:$AM,BV_Data_An_Cour!$AO:$AO,$Z15)</f>
        <v>2984.840000000002</v>
      </c>
      <c r="P15" s="1039">
        <f t="shared" ref="P15:P21" si="7">IFERROR((M15-E15)/E15,0)</f>
        <v>0</v>
      </c>
      <c r="Q15" s="997">
        <f t="shared" ref="Q15:Q21" si="8">O15-G15</f>
        <v>2984.840000000002</v>
      </c>
      <c r="R15" s="995">
        <f>SUMIFS(BV_Data_An_Prec!$AW:$AW,BV_Data_An_Prec!$AO:$AO,$Y15)</f>
        <v>0</v>
      </c>
      <c r="S15" s="1037">
        <f>-SUMIFS(BV_Data_An_Prec!$AM:$AM,BV_Data_An_Prec!$AO:$AO,$Y15)</f>
        <v>0</v>
      </c>
      <c r="T15" s="1038">
        <f t="shared" ref="T15:T22" si="9">IFERROR(U15/S15,0)</f>
        <v>0</v>
      </c>
      <c r="U15" s="998">
        <f>-SUMIFS(BV_Data_An_Prec!$AM:$AM,BV_Data_An_Prec!$AO:$AO,$Y15)-SUMIFS(BV_Data_An_Prec!$AM:$AM,BV_Data_An_Prec!$AO:$AO,$Z15)</f>
        <v>0</v>
      </c>
      <c r="V15" s="1039">
        <f t="shared" ref="V15:V21" si="10">IF(R15=0,0,L15/R15)</f>
        <v>0</v>
      </c>
      <c r="W15" s="997">
        <f t="shared" ref="W15:W21" si="11">O15-U15</f>
        <v>2984.840000000002</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SUMIFS(BV_Data_An_Cour!$AW:$AW,BV_Data_An_Cour!$AO:$AO,$Y16)</f>
        <v>0</v>
      </c>
      <c r="M16" s="659">
        <f>-SUMIFS(BV_Data_An_Cour!$AM:$AM,BV_Data_An_Cour!$AO:$AO,$Y16)</f>
        <v>0</v>
      </c>
      <c r="N16" s="1038">
        <f t="shared" ref="N16:N23" si="12">IFERROR(O16/M16,0)</f>
        <v>0</v>
      </c>
      <c r="O16" s="997">
        <f>-SUMIFS(BV_Data_An_Cour!$AM:$AM,BV_Data_An_Cour!$AO:$AO,$Y16)-SUMIFS(BV_Data_An_Cour!$AM:$AM,BV_Data_An_Cour!$AO:$AO,$Z16)</f>
        <v>0</v>
      </c>
      <c r="P16" s="1039">
        <f t="shared" si="7"/>
        <v>0</v>
      </c>
      <c r="Q16" s="997">
        <f t="shared" si="8"/>
        <v>0</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f t="shared" si="11"/>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SUMIFS(BV_Data_An_Cour!$AW:$AW,BV_Data_An_Cour!$AO:$AO,$Y17)</f>
        <v>0</v>
      </c>
      <c r="M17" s="659">
        <f>-SUMIFS(BV_Data_An_Cour!$AM:$AM,BV_Data_An_Cour!$AO:$AO,$Y17)</f>
        <v>0</v>
      </c>
      <c r="N17" s="1038">
        <f t="shared" si="12"/>
        <v>0</v>
      </c>
      <c r="O17" s="997">
        <f>-SUMIFS(BV_Data_An_Cour!$AM:$AM,BV_Data_An_Cour!$AO:$AO,$Y17)-SUMIFS(BV_Data_An_Cour!$AM:$AM,BV_Data_An_Cour!$AO:$AO,$Z17)</f>
        <v>0</v>
      </c>
      <c r="P17" s="1039">
        <f t="shared" si="7"/>
        <v>0</v>
      </c>
      <c r="Q17" s="997">
        <f t="shared" si="8"/>
        <v>0</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f t="shared" si="11"/>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SUMIFS(BV_Data_An_Cour!$AW:$AW,BV_Data_An_Cour!$AO:$AO,$Y18)</f>
        <v>0</v>
      </c>
      <c r="M18" s="659">
        <f>-SUMIFS(BV_Data_An_Cour!$AM:$AM,BV_Data_An_Cour!$AO:$AO,$Y18)</f>
        <v>0</v>
      </c>
      <c r="N18" s="1038">
        <f t="shared" si="12"/>
        <v>0</v>
      </c>
      <c r="O18" s="997">
        <f>-SUMIFS(BV_Data_An_Cour!$AM:$AM,BV_Data_An_Cour!$AO:$AO,$Y18)-SUMIFS(BV_Data_An_Cour!$AM:$AM,BV_Data_An_Cour!$AO:$AO,$Z18)</f>
        <v>0</v>
      </c>
      <c r="P18" s="1039">
        <f t="shared" si="7"/>
        <v>0</v>
      </c>
      <c r="Q18" s="997">
        <f t="shared" si="8"/>
        <v>0</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f t="shared" si="11"/>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SUMIFS(BV_Data_An_Cour!$AW:$AW,BV_Data_An_Cour!$AO:$AO,$Y19)</f>
        <v>0</v>
      </c>
      <c r="M19" s="659">
        <f>-SUMIFS(BV_Data_An_Cour!$AM:$AM,BV_Data_An_Cour!$AO:$AO,$Y19)</f>
        <v>0</v>
      </c>
      <c r="N19" s="1038">
        <f t="shared" si="12"/>
        <v>0</v>
      </c>
      <c r="O19" s="997">
        <f>-SUMIFS(BV_Data_An_Cour!$AM:$AM,BV_Data_An_Cour!$AO:$AO,$Y19)-SUMIFS(BV_Data_An_Cour!$AM:$AM,BV_Data_An_Cour!$AO:$AO,$Z19)</f>
        <v>0</v>
      </c>
      <c r="P19" s="1039">
        <f t="shared" si="7"/>
        <v>0</v>
      </c>
      <c r="Q19" s="997">
        <f t="shared" si="8"/>
        <v>0</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f t="shared" si="11"/>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SUMIFS(BV_Data_An_Cour!$AW:$AW,BV_Data_An_Cour!$AO:$AO,$Y20)</f>
        <v>0</v>
      </c>
      <c r="M20" s="659">
        <f>-SUMIFS(BV_Data_An_Cour!$AM:$AM,BV_Data_An_Cour!$AO:$AO,$Y20)</f>
        <v>0</v>
      </c>
      <c r="N20" s="1038">
        <f t="shared" si="12"/>
        <v>0</v>
      </c>
      <c r="O20" s="997">
        <f>-SUMIFS(BV_Data_An_Cour!$AM:$AM,BV_Data_An_Cour!$AO:$AO,$Y20)-SUMIFS(BV_Data_An_Cour!$AM:$AM,BV_Data_An_Cour!$AO:$AO,$Z20)</f>
        <v>0</v>
      </c>
      <c r="P20" s="1039">
        <f t="shared" si="7"/>
        <v>0</v>
      </c>
      <c r="Q20" s="997">
        <f t="shared" si="8"/>
        <v>0</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f t="shared" si="11"/>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SUMIFS(BV_Data_An_Cour!$AW:$AW,BV_Data_An_Cour!$AO:$AO,$Y21)</f>
        <v>0</v>
      </c>
      <c r="M21" s="659">
        <f>-SUMIFS(BV_Data_An_Cour!$AM:$AM,BV_Data_An_Cour!$AO:$AO,$Y21)</f>
        <v>0</v>
      </c>
      <c r="N21" s="1038">
        <f t="shared" si="12"/>
        <v>0</v>
      </c>
      <c r="O21" s="997">
        <f>-SUMIFS(BV_Data_An_Cour!$AM:$AM,BV_Data_An_Cour!$AO:$AO,$Y21)-SUMIFS(BV_Data_An_Cour!$AM:$AM,BV_Data_An_Cour!$AO:$AO,$Z21)</f>
        <v>0</v>
      </c>
      <c r="P21" s="1039">
        <f t="shared" si="7"/>
        <v>0</v>
      </c>
      <c r="Q21" s="997">
        <f t="shared" si="8"/>
        <v>0</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f t="shared" si="11"/>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SUMIFS(BV_Data_An_Cour!$AW:$AW,BV_Data_An_Cour!$AO:$AO,$Y22)</f>
        <v>0</v>
      </c>
      <c r="M22" s="659">
        <f>-SUMIFS(BV_Data_An_Cour!$AM:$AM,BV_Data_An_Cour!$AO:$AO,$Y22)</f>
        <v>0</v>
      </c>
      <c r="N22" s="1038">
        <f t="shared" si="12"/>
        <v>0</v>
      </c>
      <c r="O22" s="997">
        <f>-SUMIFS(BV_Data_An_Cour!$AM:$AM,BV_Data_An_Cour!$AO:$AO,$Y22)-SUMIFS(BV_Data_An_Cour!$AM:$AM,BV_Data_An_Cour!$AO:$AO,$Z22)</f>
        <v>0</v>
      </c>
      <c r="P22" s="1003">
        <f t="shared" ref="P22" si="13">IFERROR((M22-E22)/E22,0)</f>
        <v>0</v>
      </c>
      <c r="Q22" s="1004">
        <f t="shared" ref="Q22" si="14">O22-G22</f>
        <v>0</v>
      </c>
      <c r="R22" s="1000">
        <f>SUMIFS(BV_Data_An_Prec!$AW:$AW,BV_Data_An_Prec!$AO:$AO,$Y22)</f>
        <v>0</v>
      </c>
      <c r="S22" s="1005">
        <f>-SUMIFS(BV_Data_An_Prec!$AM:$AM,BV_Data_An_Prec!$AO:$AO,$Y22)</f>
        <v>0</v>
      </c>
      <c r="T22" s="1038">
        <f t="shared" si="9"/>
        <v>0</v>
      </c>
      <c r="U22" s="1006">
        <f>-SUMIFS(BV_Data_An_Prec!$AM:$AM,BV_Data_An_Prec!$AO:$AO,$Y22)-SUMIFS(BV_Data_An_Prec!$AM:$AM,BV_Data_An_Prec!$AO:$AO,$Z22)</f>
        <v>0</v>
      </c>
      <c r="V22" s="1003">
        <f t="shared" ref="V22" si="15">IF(R22=0,0,L22/R22)</f>
        <v>0</v>
      </c>
      <c r="W22" s="1004">
        <f t="shared" ref="W22" si="16">O22-U22</f>
        <v>0</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6016.510000000002</v>
      </c>
      <c r="N23" s="1009">
        <f t="shared" si="12"/>
        <v>0.49610820891181118</v>
      </c>
      <c r="O23" s="1008">
        <f>SUM(O15:O22)</f>
        <v>2984.840000000002</v>
      </c>
      <c r="P23" s="1012">
        <f>IFERROR((M23-E23)/E23,0)</f>
        <v>0</v>
      </c>
      <c r="Q23" s="1013">
        <f>O23-G23</f>
        <v>2984.840000000002</v>
      </c>
      <c r="R23" s="1011"/>
      <c r="S23" s="1008">
        <f>SUM(S15:S22)</f>
        <v>0</v>
      </c>
      <c r="T23" s="1009">
        <f t="shared" ref="T23" si="17">IFERROR(U23/S23,0)</f>
        <v>0</v>
      </c>
      <c r="U23" s="1008">
        <f>SUM(U15:U22)</f>
        <v>0</v>
      </c>
      <c r="V23" s="1012">
        <f>IF(R23=0,0,L23/R23)</f>
        <v>0</v>
      </c>
      <c r="W23" s="1013">
        <f>SUM(W15:W22)</f>
        <v>2984.840000000002</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SUMIFS(BV_Data_An_Cour!$AW:$AW,BV_Data_An_Cour!$AO:$AO,$Y25)</f>
        <v>0</v>
      </c>
      <c r="M25" s="659">
        <f>-SUMIFS(BV_Data_An_Cour!$AM:$AM,BV_Data_An_Cour!$AO:$AO,$Y25)</f>
        <v>0</v>
      </c>
      <c r="N25" s="1038">
        <f>IFERROR(O25/M25,0)</f>
        <v>0</v>
      </c>
      <c r="O25" s="997">
        <f>-SUMIFS(BV_Data_An_Cour!$AM:$AM,BV_Data_An_Cour!$AO:$AO,$Y25)-SUMIFS(BV_Data_An_Cour!$AM:$AM,BV_Data_An_Cour!$AO:$AO,$Z25)</f>
        <v>0</v>
      </c>
      <c r="P25" s="1039">
        <f t="shared" ref="P25:P32" si="18">IFERROR((M25-E25)/E25,0)</f>
        <v>0</v>
      </c>
      <c r="Q25" s="997">
        <f t="shared" ref="Q25:Q32" si="19">O25-G25</f>
        <v>0</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f t="shared" ref="W25:W32" si="22">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SUMIFS(BV_Data_An_Cour!$AW:$AW,BV_Data_An_Cour!$AO:$AO,$Y26)</f>
        <v>0</v>
      </c>
      <c r="M26" s="659">
        <f>-SUMIFS(BV_Data_An_Cour!$AM:$AM,BV_Data_An_Cour!$AO:$AO,$Y26)</f>
        <v>0</v>
      </c>
      <c r="N26" s="1038">
        <f t="shared" ref="N26:N33" si="23">IFERROR(O26/M26,0)</f>
        <v>0</v>
      </c>
      <c r="O26" s="997">
        <f>-SUMIFS(BV_Data_An_Cour!$AM:$AM,BV_Data_An_Cour!$AO:$AO,$Y26)-SUMIFS(BV_Data_An_Cour!$AM:$AM,BV_Data_An_Cour!$AO:$AO,$Z26)</f>
        <v>0</v>
      </c>
      <c r="P26" s="1039">
        <f t="shared" si="18"/>
        <v>0</v>
      </c>
      <c r="Q26" s="997">
        <f t="shared" si="19"/>
        <v>0</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f t="shared" si="22"/>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SUMIFS(BV_Data_An_Cour!$AW:$AW,BV_Data_An_Cour!$AO:$AO,$Y27)</f>
        <v>0</v>
      </c>
      <c r="M27" s="659">
        <f>-SUMIFS(BV_Data_An_Cour!$AM:$AM,BV_Data_An_Cour!$AO:$AO,$Y27)</f>
        <v>0</v>
      </c>
      <c r="N27" s="1038">
        <f t="shared" si="23"/>
        <v>0</v>
      </c>
      <c r="O27" s="997">
        <f>-SUMIFS(BV_Data_An_Cour!$AM:$AM,BV_Data_An_Cour!$AO:$AO,$Y27)-SUMIFS(BV_Data_An_Cour!$AM:$AM,BV_Data_An_Cour!$AO:$AO,$Z27)</f>
        <v>0</v>
      </c>
      <c r="P27" s="1039">
        <f t="shared" si="18"/>
        <v>0</v>
      </c>
      <c r="Q27" s="997">
        <f t="shared" si="19"/>
        <v>0</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f t="shared" si="22"/>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SUMIFS(BV_Data_An_Cour!$AW:$AW,BV_Data_An_Cour!$AO:$AO,$Y28)</f>
        <v>0</v>
      </c>
      <c r="M28" s="659">
        <f>-SUMIFS(BV_Data_An_Cour!$AM:$AM,BV_Data_An_Cour!$AO:$AO,$Y28)</f>
        <v>0</v>
      </c>
      <c r="N28" s="1038">
        <f t="shared" si="23"/>
        <v>0</v>
      </c>
      <c r="O28" s="997">
        <f>-SUMIFS(BV_Data_An_Cour!$AM:$AM,BV_Data_An_Cour!$AO:$AO,$Y28)-SUMIFS(BV_Data_An_Cour!$AM:$AM,BV_Data_An_Cour!$AO:$AO,$Z28)</f>
        <v>0</v>
      </c>
      <c r="P28" s="1039">
        <f t="shared" si="18"/>
        <v>0</v>
      </c>
      <c r="Q28" s="997">
        <f t="shared" si="19"/>
        <v>0</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f t="shared" si="22"/>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SUMIFS(BV_Data_An_Cour!$AW:$AW,BV_Data_An_Cour!$AO:$AO,$Y29)</f>
        <v>0</v>
      </c>
      <c r="M29" s="659">
        <f>-SUMIFS(BV_Data_An_Cour!$AM:$AM,BV_Data_An_Cour!$AO:$AO,$Y29)</f>
        <v>0</v>
      </c>
      <c r="N29" s="1038">
        <f t="shared" si="23"/>
        <v>0</v>
      </c>
      <c r="O29" s="997">
        <f>-SUMIFS(BV_Data_An_Cour!$AM:$AM,BV_Data_An_Cour!$AO:$AO,$Y29)-SUMIFS(BV_Data_An_Cour!$AM:$AM,BV_Data_An_Cour!$AO:$AO,$Z29)</f>
        <v>0</v>
      </c>
      <c r="P29" s="1039">
        <f t="shared" si="18"/>
        <v>0</v>
      </c>
      <c r="Q29" s="997">
        <f t="shared" si="19"/>
        <v>0</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f t="shared" si="22"/>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SUMIFS(BV_Data_An_Cour!$AW:$AW,BV_Data_An_Cour!$AO:$AO,$Y30)</f>
        <v>0</v>
      </c>
      <c r="M30" s="659">
        <f>-SUMIFS(BV_Data_An_Cour!$AM:$AM,BV_Data_An_Cour!$AO:$AO,$Y30)</f>
        <v>0</v>
      </c>
      <c r="N30" s="1038">
        <f t="shared" si="23"/>
        <v>0</v>
      </c>
      <c r="O30" s="997">
        <f>-SUMIFS(BV_Data_An_Cour!$AM:$AM,BV_Data_An_Cour!$AO:$AO,$Y30)-SUMIFS(BV_Data_An_Cour!$AM:$AM,BV_Data_An_Cour!$AO:$AO,$Z30)</f>
        <v>0</v>
      </c>
      <c r="P30" s="1039">
        <f t="shared" si="18"/>
        <v>0</v>
      </c>
      <c r="Q30" s="997">
        <f t="shared" si="19"/>
        <v>0</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f t="shared" si="22"/>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SUMIFS(BV_Data_An_Cour!$AW:$AW,BV_Data_An_Cour!$AO:$AO,$Y31)</f>
        <v>0</v>
      </c>
      <c r="M31" s="659">
        <f>-SUMIFS(BV_Data_An_Cour!$AM:$AM,BV_Data_An_Cour!$AO:$AO,$Y31)</f>
        <v>0</v>
      </c>
      <c r="N31" s="1038">
        <f t="shared" si="23"/>
        <v>0</v>
      </c>
      <c r="O31" s="997">
        <f>-SUMIFS(BV_Data_An_Cour!$AM:$AM,BV_Data_An_Cour!$AO:$AO,$Y31)-SUMIFS(BV_Data_An_Cour!$AM:$AM,BV_Data_An_Cour!$AO:$AO,$Z31)</f>
        <v>0</v>
      </c>
      <c r="P31" s="1039">
        <f t="shared" ref="P31" si="24">IFERROR((M31-E31)/E31,0)</f>
        <v>0</v>
      </c>
      <c r="Q31" s="997">
        <f t="shared" ref="Q31" si="25">O31-G31</f>
        <v>0</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f t="shared" ref="W31" si="27">O31-U31</f>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SUMIFS(BV_Data_An_Cour!$AW:$AW,BV_Data_An_Cour!$AO:$AO,$Y32)</f>
        <v>0</v>
      </c>
      <c r="M32" s="659">
        <f>-SUMIFS(BV_Data_An_Cour!$AM:$AM,BV_Data_An_Cour!$AO:$AO,$Y32)</f>
        <v>0</v>
      </c>
      <c r="N32" s="1038">
        <f t="shared" si="23"/>
        <v>0</v>
      </c>
      <c r="O32" s="997">
        <f>-SUMIFS(BV_Data_An_Cour!$AM:$AM,BV_Data_An_Cour!$AO:$AO,$Y32)-SUMIFS(BV_Data_An_Cour!$AM:$AM,BV_Data_An_Cour!$AO:$AO,$Z32)</f>
        <v>0</v>
      </c>
      <c r="P32" s="1003">
        <f t="shared" si="18"/>
        <v>0</v>
      </c>
      <c r="Q32" s="1004">
        <f t="shared" si="19"/>
        <v>0</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f t="shared" si="22"/>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f t="shared" si="23"/>
        <v>0</v>
      </c>
      <c r="O33" s="1008">
        <f>SUM(O25:O32)</f>
        <v>0</v>
      </c>
      <c r="P33" s="1012">
        <f>IFERROR((M33-E33)/E33,0)</f>
        <v>0</v>
      </c>
      <c r="Q33" s="1013">
        <f>O33-G33</f>
        <v>0</v>
      </c>
      <c r="R33" s="1011"/>
      <c r="S33" s="1008">
        <f>SUM(S25:S32)</f>
        <v>0</v>
      </c>
      <c r="T33" s="1009">
        <f t="shared" ref="T33" si="28">IFERROR(U33/S33,0)</f>
        <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-SUMIFS(BV_Data_An_Cour!$AM:$AM,BV_Data_An_Cour!$AO:$AO,$Z35)</f>
        <v>5962.6299999999992</v>
      </c>
      <c r="P35" s="1015"/>
      <c r="Q35" s="1016"/>
      <c r="R35" s="994"/>
      <c r="S35" s="659"/>
      <c r="T35" s="1044"/>
      <c r="U35" s="997">
        <f>-SUMIFS(BV_Data_An_Prec!$AM:$AM,BV_Data_An_Prec!$AO:$AO,$Y35)-SUMIFS(BV_Data_An_Prec!$AM:$AM,BV_Data_An_Prec!$AO:$AO,$Z35)</f>
        <v>0</v>
      </c>
      <c r="V35" s="1015"/>
      <c r="W35" s="1017">
        <f t="shared" ref="W35" si="29">O35-U35</f>
        <v>5962.6299999999992</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144570.22000000003</v>
      </c>
      <c r="N37" s="1020">
        <f>O37/M37</f>
        <v>0.48208911904540225</v>
      </c>
      <c r="O37" s="1045">
        <f>O23+O33+O13+O35</f>
        <v>69695.73000000001</v>
      </c>
      <c r="P37" s="1022">
        <f>O38-G38</f>
        <v>0.48208911904540225</v>
      </c>
      <c r="Q37" s="1045">
        <f>O37-G37</f>
        <v>69695.73000000001</v>
      </c>
      <c r="R37" s="1021"/>
      <c r="S37" s="1019">
        <f>S23+S33+S13</f>
        <v>0</v>
      </c>
      <c r="T37" s="1020">
        <f t="shared" ref="T37" si="30">IFERROR(U37/S37,0)</f>
        <v>0</v>
      </c>
      <c r="U37" s="1045">
        <f>U23+U33+U13+U35</f>
        <v>0</v>
      </c>
      <c r="V37" s="1023">
        <f>O38-U38</f>
        <v>0.48208911904540225</v>
      </c>
      <c r="W37" s="1045">
        <f>O37-U37</f>
        <v>69695.73000000001</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0.48208911904540225</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M37-Print_Mois!K326</f>
        <v>0</v>
      </c>
      <c r="O40" s="1030">
        <f>O37-Print_Mois!L326</f>
        <v>7218.1400000000212</v>
      </c>
      <c r="S40" s="1029">
        <f>S37-Print_Mois!P326</f>
        <v>0</v>
      </c>
      <c r="U40" s="1029">
        <f>U37-Print_Mois!Q326</f>
        <v>0</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Octobre 2025</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8" t="s">
        <v>339</v>
      </c>
      <c r="E3" s="1079"/>
      <c r="F3" s="1079"/>
      <c r="G3" s="1077"/>
      <c r="H3" s="1076"/>
      <c r="I3" s="1079"/>
      <c r="J3" s="1079"/>
      <c r="K3" s="1077"/>
      <c r="L3" s="1076" t="s">
        <v>340</v>
      </c>
      <c r="M3" s="1079"/>
      <c r="N3" s="1079"/>
      <c r="O3" s="1077"/>
      <c r="P3" s="1076" t="s">
        <v>668</v>
      </c>
      <c r="Q3" s="1077"/>
      <c r="R3" s="1078" t="s">
        <v>341</v>
      </c>
      <c r="S3" s="1079"/>
      <c r="T3" s="1079"/>
      <c r="U3" s="1077"/>
      <c r="V3" s="1076" t="s">
        <v>670</v>
      </c>
      <c r="W3" s="1077"/>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3104</v>
      </c>
      <c r="D6" s="995"/>
      <c r="E6" s="995"/>
      <c r="F6" s="1035"/>
      <c r="G6" s="995"/>
      <c r="H6" s="996"/>
      <c r="I6" s="995"/>
      <c r="J6" s="995"/>
      <c r="K6" s="995"/>
      <c r="L6" s="996">
        <f>SUMIFS(BV_Data_An_Cour!$AX:$AX,BV_Data_An_Cour!$AO:$AO,$Y6)</f>
        <v>386</v>
      </c>
      <c r="M6" s="659">
        <f>-SUMIFS(BV_Data_An_Cour!$AN:$AN,BV_Data_An_Cour!$AO:$AO,$Y6)</f>
        <v>481940.11</v>
      </c>
      <c r="N6" s="1038">
        <f>IFERROR(O6/M6,0)</f>
        <v>0.60574956087386045</v>
      </c>
      <c r="O6" s="997">
        <f>-SUMIFS(BV_Data_An_Cour!$AN:$AN,BV_Data_An_Cour!$AO:$AO,$Y6)-SUMIFS(BV_Data_An_Cour!$AN:$AN,BV_Data_An_Cour!$AO:$AO,$Z6)</f>
        <v>291935.01</v>
      </c>
      <c r="P6" s="1039">
        <f t="shared" ref="P6:P12" si="0">IFERROR((M6-E6)/E6,0)</f>
        <v>0</v>
      </c>
      <c r="Q6" s="997">
        <f t="shared" ref="Q6:Q12" si="1">O6-G6</f>
        <v>291935.01</v>
      </c>
      <c r="R6" s="996">
        <f>SUMIFS(BV_Data_An_Prec!$AX:$AX,BV_Data_An_Prec!$AO:$AO,$Y6)</f>
        <v>0</v>
      </c>
      <c r="S6" s="659">
        <f>-SUMIFS(BV_Data_An_Prec!$AN:$AN,BV_Data_An_Prec!$AO:$AO,$Y6)</f>
        <v>0</v>
      </c>
      <c r="T6" s="1038">
        <f>IFERROR(U6/S6,0)</f>
        <v>0</v>
      </c>
      <c r="U6" s="997">
        <f>-SUMIFS(BV_Data_An_Prec!$AN:$AN,BV_Data_An_Prec!$AO:$AO,$Y6)-SUMIFS(BV_Data_An_Prec!$AN:$AN,BV_Data_An_Prec!$AO:$AO,$Z6)</f>
        <v>0</v>
      </c>
      <c r="V6" s="1039">
        <f t="shared" ref="V6:V12" si="2">IF(R6=0,0,L6/R6)</f>
        <v>0</v>
      </c>
      <c r="W6" s="997">
        <f t="shared" ref="W6:W12" si="3">O6-U6</f>
        <v>291935.01</v>
      </c>
      <c r="X6" s="936"/>
      <c r="Y6" s="398" t="s">
        <v>2492</v>
      </c>
      <c r="Z6" s="398" t="s">
        <v>2884</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3105</v>
      </c>
      <c r="D7" s="995"/>
      <c r="E7" s="995"/>
      <c r="F7" s="1035"/>
      <c r="G7" s="995"/>
      <c r="H7" s="996"/>
      <c r="I7" s="995"/>
      <c r="J7" s="995"/>
      <c r="K7" s="995"/>
      <c r="L7" s="996">
        <f>SUMIFS(BV_Data_An_Cour!$AX:$AX,BV_Data_An_Cour!$AO:$AO,$Y7)</f>
        <v>1</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2488</v>
      </c>
      <c r="Z7" s="398" t="s">
        <v>2880</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3106</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2496</v>
      </c>
      <c r="Z8" s="398" t="s">
        <v>2888</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3107</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2518</v>
      </c>
      <c r="Z9" s="398" t="s">
        <v>2910</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3108</v>
      </c>
      <c r="D10" s="995"/>
      <c r="E10" s="995"/>
      <c r="F10" s="1035"/>
      <c r="G10" s="995"/>
      <c r="H10" s="996"/>
      <c r="I10" s="995"/>
      <c r="J10" s="995"/>
      <c r="K10" s="995"/>
      <c r="L10" s="996">
        <f>SUMIFS(BV_Data_An_Cour!$AX:$AX,BV_Data_An_Cour!$AO:$AO,$Y10)</f>
        <v>403</v>
      </c>
      <c r="M10" s="659">
        <f>-SUMIFS(BV_Data_An_Cour!$AN:$AN,BV_Data_An_Cour!$AO:$AO,$Y10)</f>
        <v>185071.66</v>
      </c>
      <c r="N10" s="1038">
        <f t="shared" si="4"/>
        <v>0.69633697563419494</v>
      </c>
      <c r="O10" s="997">
        <f>-SUMIFS(BV_Data_An_Cour!$AN:$AN,BV_Data_An_Cour!$AO:$AO,$Y10)-SUMIFS(BV_Data_An_Cour!$AN:$AN,BV_Data_An_Cour!$AO:$AO,$Z10)</f>
        <v>128872.24</v>
      </c>
      <c r="P10" s="1039">
        <f t="shared" si="0"/>
        <v>0</v>
      </c>
      <c r="Q10" s="997">
        <f t="shared" si="1"/>
        <v>128872.24</v>
      </c>
      <c r="R10" s="996">
        <f>SUMIFS(BV_Data_An_Prec!$AX:$AX,BV_Data_An_Prec!$AO:$AO,$Y10)</f>
        <v>0</v>
      </c>
      <c r="S10" s="659">
        <f>-SUMIFS(BV_Data_An_Prec!$AN:$AN,BV_Data_An_Prec!$AO:$AO,$Y10)</f>
        <v>0</v>
      </c>
      <c r="T10" s="1038">
        <f t="shared" si="5"/>
        <v>0</v>
      </c>
      <c r="U10" s="997">
        <f>-SUMIFS(BV_Data_An_Prec!$AN:$AN,BV_Data_An_Prec!$AO:$AO,$Y10)-SUMIFS(BV_Data_An_Prec!$AN:$AN,BV_Data_An_Prec!$AO:$AO,$Z10)</f>
        <v>0</v>
      </c>
      <c r="V10" s="1039">
        <f t="shared" si="2"/>
        <v>0</v>
      </c>
      <c r="W10" s="997">
        <f t="shared" si="3"/>
        <v>128872.24</v>
      </c>
      <c r="X10" s="936"/>
      <c r="Y10" s="398" t="s">
        <v>2536</v>
      </c>
      <c r="Z10" s="398" t="s">
        <v>2928</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3109</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2542</v>
      </c>
      <c r="Z11" s="398" t="s">
        <v>2934</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3110</v>
      </c>
      <c r="D12" s="1000"/>
      <c r="E12" s="1000"/>
      <c r="F12" s="1001"/>
      <c r="G12" s="1000"/>
      <c r="H12" s="1002"/>
      <c r="I12" s="1000"/>
      <c r="J12" s="1000"/>
      <c r="K12" s="1000"/>
      <c r="L12" s="1002">
        <f>SUMIFS(BV_Data_An_Cour!$AX:$AX,BV_Data_An_Cour!$AO:$AO,$Y12)</f>
        <v>366</v>
      </c>
      <c r="M12" s="659">
        <f>-SUMIFS(BV_Data_An_Cour!$AN:$AN,BV_Data_An_Cour!$AO:$AO,$Y12)</f>
        <v>842484.29</v>
      </c>
      <c r="N12" s="1038">
        <f t="shared" si="4"/>
        <v>0.23032444913601888</v>
      </c>
      <c r="O12" s="997">
        <f>-SUMIFS(BV_Data_An_Cour!$AN:$AN,BV_Data_An_Cour!$AO:$AO,$Y12)-SUMIFS(BV_Data_An_Cour!$AN:$AN,BV_Data_An_Cour!$AO:$AO,$Z12)</f>
        <v>194044.72999999998</v>
      </c>
      <c r="P12" s="1003">
        <f t="shared" si="0"/>
        <v>0</v>
      </c>
      <c r="Q12" s="1004">
        <f t="shared" si="1"/>
        <v>194044.72999999998</v>
      </c>
      <c r="R12" s="996">
        <f>SUMIFS(BV_Data_An_Prec!$AX:$AX,BV_Data_An_Prec!$AO:$AO,$Y12)</f>
        <v>0</v>
      </c>
      <c r="S12" s="659">
        <f>-SUMIFS(BV_Data_An_Prec!$AN:$AN,BV_Data_An_Prec!$AO:$AO,$Y12)</f>
        <v>0</v>
      </c>
      <c r="T12" s="1038">
        <f t="shared" si="5"/>
        <v>0</v>
      </c>
      <c r="U12" s="997">
        <f>-SUMIFS(BV_Data_An_Prec!$AN:$AN,BV_Data_An_Prec!$AO:$AO,$Y12)-SUMIFS(BV_Data_An_Prec!$AN:$AN,BV_Data_An_Prec!$AO:$AO,$Z12)</f>
        <v>0</v>
      </c>
      <c r="V12" s="1003">
        <f t="shared" si="2"/>
        <v>0</v>
      </c>
      <c r="W12" s="1004">
        <f t="shared" si="3"/>
        <v>194044.72999999998</v>
      </c>
      <c r="X12" s="936"/>
      <c r="Y12" s="398" t="s">
        <v>2512</v>
      </c>
      <c r="Z12" s="398" t="s">
        <v>2904</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1509496.06</v>
      </c>
      <c r="N13" s="1009">
        <f>O13/M13</f>
        <v>0.40732267959679203</v>
      </c>
      <c r="O13" s="1008">
        <f>SUM(O6:O12)</f>
        <v>614851.98</v>
      </c>
      <c r="P13" s="1012">
        <f>IFERROR((M13-E13)/E13,0)</f>
        <v>0</v>
      </c>
      <c r="Q13" s="1013">
        <f>O13-G13</f>
        <v>614851.98</v>
      </c>
      <c r="R13" s="1011"/>
      <c r="S13" s="1008">
        <f>SUM(S6:S12)</f>
        <v>0</v>
      </c>
      <c r="T13" s="1009" t="e">
        <f>U13/S13</f>
        <v>#DIV/0!</v>
      </c>
      <c r="U13" s="1008">
        <f>SUM(U6:U12)</f>
        <v>0</v>
      </c>
      <c r="V13" s="1012">
        <f>IF(R13=0,0,L13/R13)</f>
        <v>0</v>
      </c>
      <c r="W13" s="1013">
        <f>O13-U13</f>
        <v>614851.98</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3111</v>
      </c>
      <c r="D15" s="995"/>
      <c r="E15" s="995"/>
      <c r="F15" s="1035"/>
      <c r="G15" s="995"/>
      <c r="H15" s="996"/>
      <c r="I15" s="995"/>
      <c r="J15" s="995"/>
      <c r="K15" s="995"/>
      <c r="L15" s="996">
        <f>SUMIFS(BV_Data_An_Cour!$AX:$AX,BV_Data_An_Cour!$AO:$AO,$Y15)</f>
        <v>81</v>
      </c>
      <c r="M15" s="659">
        <f>-SUMIFS(BV_Data_An_Cour!$AN:$AN,BV_Data_An_Cour!$AO:$AO,$Y15)</f>
        <v>47646.87</v>
      </c>
      <c r="N15" s="1038">
        <f>IFERROR(O15/M15,0)</f>
        <v>0.73144720734016733</v>
      </c>
      <c r="O15" s="997">
        <f>-SUMIFS(BV_Data_An_Cour!$AN:$AN,BV_Data_An_Cour!$AO:$AO,$Y15)-SUMIFS(BV_Data_An_Cour!$AN:$AN,BV_Data_An_Cour!$AO:$AO,$Z15)</f>
        <v>34851.17</v>
      </c>
      <c r="P15" s="1039">
        <f t="shared" ref="P15:P22" si="6">IFERROR((M15-E15)/E15,0)</f>
        <v>0</v>
      </c>
      <c r="Q15" s="997">
        <f t="shared" ref="Q15:Q22" si="7">O15-G15</f>
        <v>34851.17</v>
      </c>
      <c r="R15" s="996">
        <f>SUMIFS(BV_Data_An_Prec!$AX:$AX,BV_Data_An_Prec!$AO:$AO,$Y15)</f>
        <v>0</v>
      </c>
      <c r="S15" s="659">
        <f>-SUMIFS(BV_Data_An_Prec!$AN:$AN,BV_Data_An_Prec!$AO:$AO,$Y15)</f>
        <v>0</v>
      </c>
      <c r="T15" s="1038">
        <f>IFERROR(U15/S15,0)</f>
        <v>0</v>
      </c>
      <c r="U15" s="997">
        <f>-SUMIFS(BV_Data_An_Prec!$AN:$AN,BV_Data_An_Prec!$AO:$AO,$Y15)-SUMIFS(BV_Data_An_Prec!$AN:$AN,BV_Data_An_Prec!$AO:$AO,$Z15)</f>
        <v>0</v>
      </c>
      <c r="V15" s="1039">
        <f t="shared" ref="V15:V22" si="8">IF(R15=0,0,L15/R15)</f>
        <v>0</v>
      </c>
      <c r="W15" s="997">
        <f t="shared" ref="W15:W22" si="9">O15-U15</f>
        <v>34851.17</v>
      </c>
      <c r="X15" s="936"/>
      <c r="Y15" s="398" t="s">
        <v>2504</v>
      </c>
      <c r="Z15" s="398" t="s">
        <v>2896</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3112</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2506</v>
      </c>
      <c r="Z16" s="398" t="s">
        <v>2898</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3113</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2508</v>
      </c>
      <c r="Z17" s="398" t="s">
        <v>2900</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3114</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2520</v>
      </c>
      <c r="Z18" s="398" t="s">
        <v>2912</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3115</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2538</v>
      </c>
      <c r="Z19" s="398" t="s">
        <v>2930</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3116</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2544</v>
      </c>
      <c r="Z20" s="398" t="s">
        <v>2936</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3117</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2514</v>
      </c>
      <c r="Z21" s="398" t="s">
        <v>2906</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3139</v>
      </c>
      <c r="D22" s="1000"/>
      <c r="E22" s="1000"/>
      <c r="F22" s="1001"/>
      <c r="G22" s="1000"/>
      <c r="H22" s="1002"/>
      <c r="I22" s="1000"/>
      <c r="J22" s="1000"/>
      <c r="K22" s="1000"/>
      <c r="L22" s="1002">
        <f>SUMIFS(BV_Data_An_Cour!$AX:$AX,BV_Data_An_Cour!$AO:$AO,$Y22)</f>
        <v>2</v>
      </c>
      <c r="M22" s="659">
        <f>-SUMIFS(BV_Data_An_Cour!$AN:$AN,BV_Data_An_Cour!$AO:$AO,$Y22)</f>
        <v>540.79999999999995</v>
      </c>
      <c r="N22" s="1038">
        <f t="shared" si="10"/>
        <v>0.52938239644970408</v>
      </c>
      <c r="O22" s="997">
        <f>-SUMIFS(BV_Data_An_Cour!$AN:$AN,BV_Data_An_Cour!$AO:$AO,$Y22)-SUMIFS(BV_Data_An_Cour!$AN:$AN,BV_Data_An_Cour!$AO:$AO,$Z22)</f>
        <v>286.28999999999996</v>
      </c>
      <c r="P22" s="1003">
        <f t="shared" si="6"/>
        <v>0</v>
      </c>
      <c r="Q22" s="1004">
        <f t="shared" si="7"/>
        <v>286.28999999999996</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286.28999999999996</v>
      </c>
      <c r="X22" s="936"/>
      <c r="Y22" s="398" t="s">
        <v>2502</v>
      </c>
      <c r="Z22" s="398" t="s">
        <v>2894</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48187.670000000006</v>
      </c>
      <c r="N23" s="1009">
        <f>O23/M23</f>
        <v>0.7291794768246731</v>
      </c>
      <c r="O23" s="1008">
        <f>SUM(O15:O22)</f>
        <v>35137.46</v>
      </c>
      <c r="P23" s="1012">
        <f>IFERROR((M23-E23)/E23,0)</f>
        <v>0</v>
      </c>
      <c r="Q23" s="1013">
        <f>O23-G23</f>
        <v>35137.46</v>
      </c>
      <c r="R23" s="1011"/>
      <c r="S23" s="1008">
        <f>SUM(S15:S22)</f>
        <v>0</v>
      </c>
      <c r="T23" s="1009" t="e">
        <f>U23/S23</f>
        <v>#DIV/0!</v>
      </c>
      <c r="U23" s="1008">
        <f>SUM(U15:U22)</f>
        <v>0</v>
      </c>
      <c r="V23" s="1012">
        <f>IF(R23=0,0,L23/R23)</f>
        <v>0</v>
      </c>
      <c r="W23" s="1013">
        <f>O23-U23</f>
        <v>35137.46</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3118</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2494</v>
      </c>
      <c r="Z25" s="398" t="s">
        <v>2886</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3119</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2490</v>
      </c>
      <c r="Z26" s="398" t="s">
        <v>2882</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3120</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2498</v>
      </c>
      <c r="Z27" s="398" t="s">
        <v>2890</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3121</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2522</v>
      </c>
      <c r="Z28" s="398" t="s">
        <v>2914</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3122</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2540</v>
      </c>
      <c r="Z29" s="398" t="s">
        <v>2932</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3123</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2546</v>
      </c>
      <c r="Z30" s="398" t="s">
        <v>2938</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3124</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2516</v>
      </c>
      <c r="Z31" s="398" t="s">
        <v>2908</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3125</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2500</v>
      </c>
      <c r="Z32" s="398" t="s">
        <v>2892</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13289.56</v>
      </c>
      <c r="P35" s="1015"/>
      <c r="Q35" s="1016"/>
      <c r="R35" s="994"/>
      <c r="S35" s="659"/>
      <c r="T35" s="1044"/>
      <c r="U35" s="997">
        <f>-SUMIFS(BV_Data_An_Prec!$AN:$AN,BV_Data_An_Prec!$AO:$AO,$Y35)-SUMIFS(BV_Data_An_Prec!$AN:$AN,BV_Data_An_Prec!$AO:$AO,$Z35)</f>
        <v>0</v>
      </c>
      <c r="V35" s="1015"/>
      <c r="W35" s="1017">
        <f t="shared" ref="W35" si="18">O35-U35</f>
        <v>13289.56</v>
      </c>
      <c r="X35" s="402"/>
      <c r="Y35" s="398"/>
      <c r="Z35" s="398" t="s">
        <v>2902</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3103</v>
      </c>
      <c r="D37" s="1019"/>
      <c r="E37" s="1019">
        <f>E23+E33+E13</f>
        <v>0</v>
      </c>
      <c r="F37" s="1020" t="e">
        <f>G37/E37</f>
        <v>#DIV/0!</v>
      </c>
      <c r="G37" s="1045">
        <f>G23+G33+G13</f>
        <v>0</v>
      </c>
      <c r="H37" s="1021"/>
      <c r="I37" s="1019"/>
      <c r="J37" s="1019"/>
      <c r="K37" s="1045"/>
      <c r="L37" s="1021"/>
      <c r="M37" s="1019">
        <f>M23+M33+M13</f>
        <v>1557683.73</v>
      </c>
      <c r="N37" s="1020">
        <f>O37/M37</f>
        <v>0.42581108554045177</v>
      </c>
      <c r="O37" s="1045">
        <f>O23+O33+O13+O35</f>
        <v>663279</v>
      </c>
      <c r="P37" s="1022">
        <f>O38-G38</f>
        <v>0.42581108554045177</v>
      </c>
      <c r="Q37" s="1045">
        <f>O37-G37</f>
        <v>663279</v>
      </c>
      <c r="R37" s="1021"/>
      <c r="S37" s="1019">
        <f>S23+S33+S13</f>
        <v>0</v>
      </c>
      <c r="T37" s="1020" t="e">
        <f>U37/S37</f>
        <v>#DIV/0!</v>
      </c>
      <c r="U37" s="1045">
        <f>U23+U33+U13+U35</f>
        <v>0</v>
      </c>
      <c r="V37" s="1023">
        <f>O38-U38</f>
        <v>0.42581108554045177</v>
      </c>
      <c r="W37" s="1045">
        <f>O37-U37</f>
        <v>663279</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0.42581108554045177</v>
      </c>
      <c r="P38" s="1028"/>
      <c r="Q38" s="473" t="e">
        <f>Q37/G37</f>
        <v>#DIV/0!</v>
      </c>
      <c r="R38" s="1024"/>
      <c r="S38" s="1027"/>
      <c r="T38" s="1025"/>
      <c r="U38" s="473">
        <f>IF(S37=0,0,U37/S37)</f>
        <v>0</v>
      </c>
      <c r="V38" s="1028"/>
      <c r="W38" s="473" t="e">
        <f>W37/U37</f>
        <v>#DIV/0!</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44320.3400000002</v>
      </c>
      <c r="S40" s="1029">
        <f>S37-Print_AAD!P326</f>
        <v>0</v>
      </c>
      <c r="U40" s="1029">
        <f>U37-Print_AAD!Q326</f>
        <v>0</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J720" zoomScale="80" zoomScaleNormal="80" workbookViewId="0">
      <selection activeCell="AP777" sqref="AP777:AQ780"/>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hidden="1"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f>IFERROR(INDEX(G3:R3,1,MATCH(Parametres!$B$3,G$1:R$1,0)-1)*IF(OR(F3="L",F3="S",F3="I"),-1,1),"")</f>
        <v>508118.17</v>
      </c>
      <c r="AM3" s="905">
        <f>AN3-AL3</f>
        <v>63047.100000000035</v>
      </c>
      <c r="AN3" s="905">
        <f>INDEX(G3:R3,1,MATCH(Parametres!$B$3,G$1:R$1,0))*IF(OR(F3="L",F3="S",F3="I"),-1,1)</f>
        <v>571165.27</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f>IFERROR(INDEX(V3:AG3,1,MATCH(Parametres!$B$3,V$1:AG$1,0)-1)*IF(OR(C3="L",C3="S",C3="I"),-1,1),"")</f>
        <v>0</v>
      </c>
      <c r="AW3" s="899">
        <f>AX3-AV3</f>
        <v>0</v>
      </c>
      <c r="AX3" s="899">
        <f>INDEX(V3:AG3,1,MATCH(Parametres!$B$3,V$1:AG$1,0))*IF(OR(C3="L",C3="S",C3="I"),-1,1)</f>
        <v>0</v>
      </c>
      <c r="AY3" s="487" t="s">
        <v>337</v>
      </c>
      <c r="AZ3" s="487">
        <f>+VLOOKUP($AJ3,Data_Validation!$A:$E,5,0)</f>
        <v>0</v>
      </c>
    </row>
    <row r="4" spans="1:52" ht="15" hidden="1"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f>IFERROR(INDEX(G4:R4,1,MATCH(Parametres!$B$3,G$1:R$1,0)-1)*IF(OR(F4="L",F4="S",F4="I"),-1,1),"")</f>
        <v>113419.52</v>
      </c>
      <c r="AM4" s="905">
        <f t="shared" ref="AM4:AM67" si="2">AN4-AL4</f>
        <v>-55105.340000000004</v>
      </c>
      <c r="AN4" s="905">
        <f>INDEX(G4:R4,1,MATCH(Parametres!$B$3,G$1:R$1,0))*IF(OR(F4="L",F4="S",F4="I"),-1,1)</f>
        <v>58314.18</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f>IFERROR(INDEX(V4:AG4,1,MATCH(Parametres!$B$3,V$1:AG$1,0)-1)*IF(OR(C4="L",C4="S",C4="I"),-1,1),"")</f>
        <v>0</v>
      </c>
      <c r="AW4" s="899">
        <f t="shared" ref="AW4:AW67" si="5">AX4-AV4</f>
        <v>0</v>
      </c>
      <c r="AX4" s="899">
        <f>INDEX(V4:AG4,1,MATCH(Parametres!$B$3,V$1:AG$1,0))*IF(OR(C4="L",C4="S",C4="I"),-1,1)</f>
        <v>0</v>
      </c>
      <c r="AY4" s="487" t="s">
        <v>337</v>
      </c>
      <c r="AZ4" s="487">
        <f>+VLOOKUP($AJ4,Data_Validation!$A:$E,5,0)</f>
        <v>0</v>
      </c>
    </row>
    <row r="5" spans="1:52" ht="15.75" hidden="1"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f>IFERROR(INDEX(G5:R5,1,MATCH(Parametres!$B$3,G$1:R$1,0)-1)*IF(OR(F5="L",F5="S",F5="I"),-1,1),"")</f>
        <v>0</v>
      </c>
      <c r="AM5" s="905">
        <f t="shared" si="2"/>
        <v>0</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f>IFERROR(INDEX(V5:AG5,1,MATCH(Parametres!$B$3,V$1:AG$1,0)-1)*IF(OR(C5="L",C5="S",C5="I"),-1,1),"")</f>
        <v>0</v>
      </c>
      <c r="AW5" s="899">
        <f t="shared" si="5"/>
        <v>0</v>
      </c>
      <c r="AX5" s="899">
        <f>INDEX(V5:AG5,1,MATCH(Parametres!$B$3,V$1:AG$1,0))*IF(OR(C5="L",C5="S",C5="I"),-1,1)</f>
        <v>0</v>
      </c>
      <c r="AY5" s="487" t="s">
        <v>337</v>
      </c>
      <c r="AZ5" s="487">
        <f>+VLOOKUP($AJ5,Data_Validation!$A:$E,5,0)</f>
        <v>0</v>
      </c>
    </row>
    <row r="6" spans="1:52" ht="15.75" hidden="1"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f>IFERROR(INDEX(G6:R6,1,MATCH(Parametres!$B$3,G$1:R$1,0)-1)*IF(OR(F6="L",F6="S",F6="I"),-1,1),"")</f>
        <v>-35159.949999999997</v>
      </c>
      <c r="AM6" s="905">
        <f t="shared" si="2"/>
        <v>-8501.0500000000029</v>
      </c>
      <c r="AN6" s="905">
        <f>INDEX(G6:R6,1,MATCH(Parametres!$B$3,G$1:R$1,0))*IF(OR(F6="L",F6="S",F6="I"),-1,1)</f>
        <v>-43661</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f>IFERROR(INDEX(V6:AG6,1,MATCH(Parametres!$B$3,V$1:AG$1,0)-1)*IF(OR(C6="L",C6="S",C6="I"),-1,1),"")</f>
        <v>0</v>
      </c>
      <c r="AW6" s="899">
        <f t="shared" si="5"/>
        <v>0</v>
      </c>
      <c r="AX6" s="899">
        <f>INDEX(V6:AG6,1,MATCH(Parametres!$B$3,V$1:AG$1,0))*IF(OR(C6="L",C6="S",C6="I"),-1,1)</f>
        <v>0</v>
      </c>
      <c r="AY6" s="487" t="s">
        <v>337</v>
      </c>
      <c r="AZ6" s="487">
        <f>+VLOOKUP($AJ6,Data_Validation!$A:$E,5,0)</f>
        <v>0</v>
      </c>
    </row>
    <row r="7" spans="1:52" ht="15" hidden="1"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f>IFERROR(INDEX(G7:R7,1,MATCH(Parametres!$B$3,G$1:R$1,0)-1)*IF(OR(F7="L",F7="S",F7="I"),-1,1),"")</f>
        <v>-12227.85</v>
      </c>
      <c r="AM7" s="905">
        <f t="shared" si="2"/>
        <v>-5111.6299999999992</v>
      </c>
      <c r="AN7" s="905">
        <f>INDEX(G7:R7,1,MATCH(Parametres!$B$3,G$1:R$1,0))*IF(OR(F7="L",F7="S",F7="I"),-1,1)</f>
        <v>-17339.48</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f>IFERROR(INDEX(V7:AG7,1,MATCH(Parametres!$B$3,V$1:AG$1,0)-1)*IF(OR(C7="L",C7="S",C7="I"),-1,1),"")</f>
        <v>0</v>
      </c>
      <c r="AW7" s="899">
        <f t="shared" si="5"/>
        <v>0</v>
      </c>
      <c r="AX7" s="899">
        <f>INDEX(V7:AG7,1,MATCH(Parametres!$B$3,V$1:AG$1,0))*IF(OR(C7="L",C7="S",C7="I"),-1,1)</f>
        <v>0</v>
      </c>
      <c r="AY7" s="487" t="s">
        <v>337</v>
      </c>
      <c r="AZ7" s="487">
        <f>+VLOOKUP($AJ7,Data_Validation!$A:$E,5,0)</f>
        <v>0</v>
      </c>
    </row>
    <row r="8" spans="1:52" ht="15" hidden="1"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f>IFERROR(INDEX(G8:R8,1,MATCH(Parametres!$B$3,G$1:R$1,0)-1)*IF(OR(F8="L",F8="S",F8="I"),-1,1),"")</f>
        <v>8337.91</v>
      </c>
      <c r="AM8" s="905">
        <f t="shared" si="2"/>
        <v>1077.7000000000007</v>
      </c>
      <c r="AN8" s="905">
        <f>INDEX(G8:R8,1,MATCH(Parametres!$B$3,G$1:R$1,0))*IF(OR(F8="L",F8="S",F8="I"),-1,1)</f>
        <v>9415.61</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f>IFERROR(INDEX(V8:AG8,1,MATCH(Parametres!$B$3,V$1:AG$1,0)-1)*IF(OR(C8="L",C8="S",C8="I"),-1,1),"")</f>
        <v>0</v>
      </c>
      <c r="AW8" s="899">
        <f t="shared" si="5"/>
        <v>0</v>
      </c>
      <c r="AX8" s="899">
        <f>INDEX(V8:AG8,1,MATCH(Parametres!$B$3,V$1:AG$1,0))*IF(OR(C8="L",C8="S",C8="I"),-1,1)</f>
        <v>0</v>
      </c>
      <c r="AY8" s="487" t="s">
        <v>337</v>
      </c>
      <c r="AZ8" s="487">
        <f>+VLOOKUP($AJ8,Data_Validation!$A:$E,5,0)</f>
        <v>0</v>
      </c>
    </row>
    <row r="9" spans="1:52" ht="15" hidden="1"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f>IFERROR(INDEX(G9:R9,1,MATCH(Parametres!$B$3,G$1:R$1,0)-1)*IF(OR(F9="L",F9="S",F9="I"),-1,1),"")</f>
        <v>3686.1</v>
      </c>
      <c r="AM9" s="905">
        <f t="shared" si="2"/>
        <v>1009.0099999999998</v>
      </c>
      <c r="AN9" s="905">
        <f>INDEX(G9:R9,1,MATCH(Parametres!$B$3,G$1:R$1,0))*IF(OR(F9="L",F9="S",F9="I"),-1,1)</f>
        <v>4695.1099999999997</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f>IFERROR(INDEX(V9:AG9,1,MATCH(Parametres!$B$3,V$1:AG$1,0)-1)*IF(OR(C9="L",C9="S",C9="I"),-1,1),"")</f>
        <v>0</v>
      </c>
      <c r="AW9" s="899">
        <f t="shared" si="5"/>
        <v>0</v>
      </c>
      <c r="AX9" s="899">
        <f>INDEX(V9:AG9,1,MATCH(Parametres!$B$3,V$1:AG$1,0))*IF(OR(C9="L",C9="S",C9="I"),-1,1)</f>
        <v>0</v>
      </c>
      <c r="AY9" s="487" t="s">
        <v>337</v>
      </c>
      <c r="AZ9" s="487">
        <f>+VLOOKUP($AJ9,Data_Validation!$A:$E,5,0)</f>
        <v>0</v>
      </c>
    </row>
    <row r="10" spans="1:52" ht="15" hidden="1"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f>IFERROR(INDEX(G10:R10,1,MATCH(Parametres!$B$3,G$1:R$1,0)-1)*IF(OR(F10="L",F10="S",F10="I"),-1,1),"")</f>
        <v>1590.78</v>
      </c>
      <c r="AM10" s="905">
        <f t="shared" si="2"/>
        <v>498.20999999999981</v>
      </c>
      <c r="AN10" s="905">
        <f>INDEX(G10:R10,1,MATCH(Parametres!$B$3,G$1:R$1,0))*IF(OR(F10="L",F10="S",F10="I"),-1,1)</f>
        <v>2088.9899999999998</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f>IFERROR(INDEX(V10:AG10,1,MATCH(Parametres!$B$3,V$1:AG$1,0)-1)*IF(OR(C10="L",C10="S",C10="I"),-1,1),"")</f>
        <v>0</v>
      </c>
      <c r="AW10" s="899">
        <f t="shared" si="5"/>
        <v>0</v>
      </c>
      <c r="AX10" s="899">
        <f>INDEX(V10:AG10,1,MATCH(Parametres!$B$3,V$1:AG$1,0))*IF(OR(C10="L",C10="S",C10="I"),-1,1)</f>
        <v>0</v>
      </c>
      <c r="AY10" s="487" t="s">
        <v>337</v>
      </c>
      <c r="AZ10" s="487">
        <f>+VLOOKUP($AJ10,Data_Validation!$A:$E,5,0)</f>
        <v>0</v>
      </c>
    </row>
    <row r="11" spans="1:52" ht="15" hidden="1"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f>IFERROR(INDEX(G11:R11,1,MATCH(Parametres!$B$3,G$1:R$1,0)-1)*IF(OR(F11="L",F11="S",F11="I"),-1,1),"")</f>
        <v>0</v>
      </c>
      <c r="AM11" s="905">
        <f t="shared" si="2"/>
        <v>0</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f>IFERROR(INDEX(V11:AG11,1,MATCH(Parametres!$B$3,V$1:AG$1,0)-1)*IF(OR(C11="L",C11="S",C11="I"),-1,1),"")</f>
        <v>0</v>
      </c>
      <c r="AW11" s="899">
        <f t="shared" si="5"/>
        <v>0</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G0200</v>
      </c>
      <c r="AK12" s="905" t="str">
        <f t="shared" si="1"/>
        <v>SALAIRE PROPRIETAIRE REP.</v>
      </c>
      <c r="AL12" s="905">
        <f>IFERROR(INDEX(G12:R12,1,MATCH(Parametres!$B$3,G$1:R$1,0)-1)*IF(OR(F12="L",F12="S",F12="I"),-1,1),"")</f>
        <v>0</v>
      </c>
      <c r="AM12" s="905">
        <f t="shared" si="2"/>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3"/>
        <v>G0200</v>
      </c>
      <c r="AU12" s="488" t="str">
        <f t="shared" si="4"/>
        <v>SALAIRE PROPRIETAIRE REP.</v>
      </c>
      <c r="AV12" s="899">
        <f>IFERROR(INDEX(V12:AG12,1,MATCH(Parametres!$B$3,V$1:AG$1,0)-1)*IF(OR(C12="L",C12="S",C12="I"),-1,1),"")</f>
        <v>0</v>
      </c>
      <c r="AW12" s="899">
        <f t="shared" si="5"/>
        <v>0</v>
      </c>
      <c r="AX12" s="899">
        <f>INDEX(V12:AG12,1,MATCH(Parametres!$B$3,V$1:AG$1,0))*IF(OR(C12="L",C12="S",C12="I"),-1,1)</f>
        <v>0</v>
      </c>
      <c r="AY12" s="487" t="s">
        <v>337</v>
      </c>
      <c r="AZ12" s="487" t="e">
        <f>+VLOOKUP($AJ12,Data_Validation!$A:$E,5,0)</f>
        <v>#N/A</v>
      </c>
    </row>
    <row r="13" spans="1:52" ht="15" hidden="1"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G0201</v>
      </c>
      <c r="AK13" s="905" t="str">
        <f t="shared" si="1"/>
        <v>SALAIRE PROP. NEUF</v>
      </c>
      <c r="AL13" s="905">
        <f>IFERROR(INDEX(G13:R13,1,MATCH(Parametres!$B$3,G$1:R$1,0)-1)*IF(OR(F13="L",F13="S",F13="I"),-1,1),"")</f>
        <v>88895.48</v>
      </c>
      <c r="AM13" s="905">
        <f t="shared" si="2"/>
        <v>0</v>
      </c>
      <c r="AN13" s="905">
        <f>INDEX(G13:R13,1,MATCH(Parametres!$B$3,G$1:R$1,0))*IF(OR(F13="L",F13="S",F13="I"),-1,1)</f>
        <v>88895.48</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3"/>
        <v>G0201</v>
      </c>
      <c r="AU13" s="488" t="str">
        <f t="shared" si="4"/>
        <v>SALAIRE PROP. NEUF</v>
      </c>
      <c r="AV13" s="899">
        <f>IFERROR(INDEX(V13:AG13,1,MATCH(Parametres!$B$3,V$1:AG$1,0)-1)*IF(OR(C13="L",C13="S",C13="I"),-1,1),"")</f>
        <v>0</v>
      </c>
      <c r="AW13" s="899">
        <f t="shared" si="5"/>
        <v>0</v>
      </c>
      <c r="AX13" s="899">
        <f>INDEX(V13:AG13,1,MATCH(Parametres!$B$3,V$1:AG$1,0))*IF(OR(C13="L",C13="S",C13="I"),-1,1)</f>
        <v>0</v>
      </c>
      <c r="AY13" s="487" t="s">
        <v>337</v>
      </c>
      <c r="AZ13" s="487">
        <f>+VLOOKUP($AJ13,Data_Validation!$A:$E,5,0)</f>
        <v>0</v>
      </c>
    </row>
    <row r="14" spans="1:52" ht="15" hidden="1" customHeight="1">
      <c r="A14" s="706" t="s">
        <v>1148</v>
      </c>
      <c r="B14" s="706">
        <v>2025</v>
      </c>
      <c r="C14" s="706" t="s">
        <v>1198</v>
      </c>
      <c r="D14" s="706" t="s">
        <v>1199</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G0202</v>
      </c>
      <c r="AK14" s="905" t="str">
        <f t="shared" si="1"/>
        <v>SALAIRE PROP USAGE</v>
      </c>
      <c r="AL14" s="905">
        <f>IFERROR(INDEX(G14:R14,1,MATCH(Parametres!$B$3,G$1:R$1,0)-1)*IF(OR(F14="L",F14="S",F14="I"),-1,1),"")</f>
        <v>59263.67</v>
      </c>
      <c r="AM14" s="905">
        <f t="shared" si="2"/>
        <v>0</v>
      </c>
      <c r="AN14" s="905">
        <f>INDEX(G14:R14,1,MATCH(Parametres!$B$3,G$1:R$1,0))*IF(OR(F14="L",F14="S",F14="I"),-1,1)</f>
        <v>59263.67</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3"/>
        <v>G0202</v>
      </c>
      <c r="AU14" s="488" t="str">
        <f t="shared" si="4"/>
        <v>SALAIRE PROP USAGE</v>
      </c>
      <c r="AV14" s="899">
        <f>IFERROR(INDEX(V14:AG14,1,MATCH(Parametres!$B$3,V$1:AG$1,0)-1)*IF(OR(C14="L",C14="S",C14="I"),-1,1),"")</f>
        <v>0</v>
      </c>
      <c r="AW14" s="899">
        <f t="shared" si="5"/>
        <v>0</v>
      </c>
      <c r="AX14" s="899">
        <f>INDEX(V14:AG14,1,MATCH(Parametres!$B$3,V$1:AG$1,0))*IF(OR(C14="L",C14="S",C14="I"),-1,1)</f>
        <v>0</v>
      </c>
      <c r="AY14" s="487" t="s">
        <v>337</v>
      </c>
      <c r="AZ14" s="487">
        <f>+VLOOKUP($AJ14,Data_Validation!$A:$E,5,0)</f>
        <v>0</v>
      </c>
    </row>
    <row r="15" spans="1:52" ht="15" hidden="1" customHeight="1">
      <c r="A15" s="706" t="s">
        <v>1148</v>
      </c>
      <c r="B15" s="706">
        <v>2025</v>
      </c>
      <c r="C15" s="706" t="s">
        <v>1200</v>
      </c>
      <c r="D15" s="706" t="s">
        <v>1201</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G0204</v>
      </c>
      <c r="AK15" s="905" t="str">
        <f t="shared" si="1"/>
        <v>SALAIRE PROP SERVICE</v>
      </c>
      <c r="AL15" s="905">
        <f>IFERROR(INDEX(G15:R15,1,MATCH(Parametres!$B$3,G$1:R$1,0)-1)*IF(OR(F15="L",F15="S",F15="I"),-1,1),"")</f>
        <v>88895.48</v>
      </c>
      <c r="AM15" s="905">
        <f t="shared" si="2"/>
        <v>0</v>
      </c>
      <c r="AN15" s="905">
        <f>INDEX(G15:R15,1,MATCH(Parametres!$B$3,G$1:R$1,0))*IF(OR(F15="L",F15="S",F15="I"),-1,1)</f>
        <v>88895.48</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3"/>
        <v>G0204</v>
      </c>
      <c r="AU15" s="488" t="str">
        <f t="shared" si="4"/>
        <v>SALAIRE PROP SERVICE</v>
      </c>
      <c r="AV15" s="899">
        <f>IFERROR(INDEX(V15:AG15,1,MATCH(Parametres!$B$3,V$1:AG$1,0)-1)*IF(OR(C15="L",C15="S",C15="I"),-1,1),"")</f>
        <v>0</v>
      </c>
      <c r="AW15" s="899">
        <f t="shared" si="5"/>
        <v>0</v>
      </c>
      <c r="AX15" s="899">
        <f>INDEX(V15:AG15,1,MATCH(Parametres!$B$3,V$1:AG$1,0))*IF(OR(C15="L",C15="S",C15="I"),-1,1)</f>
        <v>0</v>
      </c>
      <c r="AY15" s="487" t="s">
        <v>337</v>
      </c>
      <c r="AZ15" s="487">
        <f>+VLOOKUP($AJ15,Data_Validation!$A:$E,5,0)</f>
        <v>0</v>
      </c>
    </row>
    <row r="16" spans="1:52" ht="15" hidden="1" customHeight="1">
      <c r="A16" s="706" t="s">
        <v>1148</v>
      </c>
      <c r="B16" s="706">
        <v>2025</v>
      </c>
      <c r="C16" s="706" t="s">
        <v>1202</v>
      </c>
      <c r="D16" s="706" t="s">
        <v>1203</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G0205</v>
      </c>
      <c r="AK16" s="905" t="str">
        <f t="shared" si="1"/>
        <v>SALAIRE PROP CARROSSERIE</v>
      </c>
      <c r="AL16" s="905">
        <f>IFERROR(INDEX(G16:R16,1,MATCH(Parametres!$B$3,G$1:R$1,0)-1)*IF(OR(F16="L",F16="S",F16="I"),-1,1),"")</f>
        <v>29631.83</v>
      </c>
      <c r="AM16" s="905">
        <f t="shared" si="2"/>
        <v>0</v>
      </c>
      <c r="AN16" s="905">
        <f>INDEX(G16:R16,1,MATCH(Parametres!$B$3,G$1:R$1,0))*IF(OR(F16="L",F16="S",F16="I"),-1,1)</f>
        <v>29631.83</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3"/>
        <v>G0205</v>
      </c>
      <c r="AU16" s="488" t="str">
        <f t="shared" si="4"/>
        <v>SALAIRE PROP CARROSSERIE</v>
      </c>
      <c r="AV16" s="899">
        <f>IFERROR(INDEX(V16:AG16,1,MATCH(Parametres!$B$3,V$1:AG$1,0)-1)*IF(OR(C16="L",C16="S",C16="I"),-1,1),"")</f>
        <v>0</v>
      </c>
      <c r="AW16" s="899">
        <f t="shared" si="5"/>
        <v>0</v>
      </c>
      <c r="AX16" s="899">
        <f>INDEX(V16:AG16,1,MATCH(Parametres!$B$3,V$1:AG$1,0))*IF(OR(C16="L",C16="S",C16="I"),-1,1)</f>
        <v>0</v>
      </c>
      <c r="AY16" s="487" t="s">
        <v>337</v>
      </c>
      <c r="AZ16" s="487">
        <f>+VLOOKUP($AJ16,Data_Validation!$A:$E,5,0)</f>
        <v>0</v>
      </c>
    </row>
    <row r="17" spans="1:52" ht="15" hidden="1" customHeight="1">
      <c r="A17" s="706" t="s">
        <v>1148</v>
      </c>
      <c r="B17" s="706">
        <v>2025</v>
      </c>
      <c r="C17" s="706" t="s">
        <v>1204</v>
      </c>
      <c r="D17" s="706" t="s">
        <v>1205</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G0206</v>
      </c>
      <c r="AK17" s="905" t="str">
        <f t="shared" si="1"/>
        <v>SALAIRE PROP. PIECES</v>
      </c>
      <c r="AL17" s="905">
        <f>IFERROR(INDEX(G17:R17,1,MATCH(Parametres!$B$3,G$1:R$1,0)-1)*IF(OR(F17="L",F17="S",F17="I"),-1,1),"")</f>
        <v>29631.81</v>
      </c>
      <c r="AM17" s="905">
        <f t="shared" si="2"/>
        <v>0</v>
      </c>
      <c r="AN17" s="905">
        <f>INDEX(G17:R17,1,MATCH(Parametres!$B$3,G$1:R$1,0))*IF(OR(F17="L",F17="S",F17="I"),-1,1)</f>
        <v>29631.81</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3"/>
        <v>G0206</v>
      </c>
      <c r="AU17" s="488" t="str">
        <f t="shared" si="4"/>
        <v>SALAIRE PROP. PIECES</v>
      </c>
      <c r="AV17" s="899">
        <f>IFERROR(INDEX(V17:AG17,1,MATCH(Parametres!$B$3,V$1:AG$1,0)-1)*IF(OR(C17="L",C17="S",C17="I"),-1,1),"")</f>
        <v>0</v>
      </c>
      <c r="AW17" s="899">
        <f t="shared" si="5"/>
        <v>0</v>
      </c>
      <c r="AX17" s="899">
        <f>INDEX(V17:AG17,1,MATCH(Parametres!$B$3,V$1:AG$1,0))*IF(OR(C17="L",C17="S",C17="I"),-1,1)</f>
        <v>0</v>
      </c>
      <c r="AY17" s="487" t="s">
        <v>337</v>
      </c>
      <c r="AZ17" s="487">
        <f>+VLOOKUP($AJ17,Data_Validation!$A:$E,5,0)</f>
        <v>0</v>
      </c>
    </row>
    <row r="18" spans="1:52" ht="15" customHeight="1">
      <c r="A18" s="706" t="s">
        <v>1148</v>
      </c>
      <c r="B18" s="706">
        <v>2025</v>
      </c>
      <c r="C18" s="706" t="s">
        <v>1206</v>
      </c>
      <c r="D18" s="706" t="s">
        <v>1207</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G0210</v>
      </c>
      <c r="AK18" s="905" t="str">
        <f t="shared" si="1"/>
        <v>SALAIRE ADMIN. TOUS</v>
      </c>
      <c r="AL18" s="905">
        <f>IFERROR(INDEX(G18:R18,1,MATCH(Parametres!$B$3,G$1:R$1,0)-1)*IF(OR(F18="L",F18="S",F18="I"),-1,1),"")</f>
        <v>0</v>
      </c>
      <c r="AM18" s="905">
        <f t="shared" si="2"/>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3"/>
        <v>G0210</v>
      </c>
      <c r="AU18" s="488" t="str">
        <f t="shared" si="4"/>
        <v>SALAIRE ADMIN. TOUS</v>
      </c>
      <c r="AV18" s="899">
        <f>IFERROR(INDEX(V18:AG18,1,MATCH(Parametres!$B$3,V$1:AG$1,0)-1)*IF(OR(C18="L",C18="S",C18="I"),-1,1),"")</f>
        <v>0</v>
      </c>
      <c r="AW18" s="899">
        <f t="shared" si="5"/>
        <v>0</v>
      </c>
      <c r="AX18" s="899">
        <f>INDEX(V18:AG18,1,MATCH(Parametres!$B$3,V$1:AG$1,0))*IF(OR(C18="L",C18="S",C18="I"),-1,1)</f>
        <v>0</v>
      </c>
      <c r="AY18" s="487" t="s">
        <v>337</v>
      </c>
      <c r="AZ18" s="487" t="e">
        <f>+VLOOKUP($AJ18,Data_Validation!$A:$E,5,0)</f>
        <v>#N/A</v>
      </c>
    </row>
    <row r="19" spans="1:52" ht="15" hidden="1" customHeight="1">
      <c r="A19" s="706" t="s">
        <v>1148</v>
      </c>
      <c r="B19" s="706">
        <v>2025</v>
      </c>
      <c r="C19" s="706" t="s">
        <v>1208</v>
      </c>
      <c r="D19" s="706" t="s">
        <v>1209</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G0211</v>
      </c>
      <c r="AK19" s="905" t="str">
        <f t="shared" si="1"/>
        <v>SALAIRES CADRES NEUFS</v>
      </c>
      <c r="AL19" s="905">
        <f>IFERROR(INDEX(G19:R19,1,MATCH(Parametres!$B$3,G$1:R$1,0)-1)*IF(OR(F19="L",F19="S",F19="I"),-1,1),"")</f>
        <v>125661.04</v>
      </c>
      <c r="AM19" s="905">
        <f t="shared" si="2"/>
        <v>16326.830000000002</v>
      </c>
      <c r="AN19" s="905">
        <f>INDEX(G19:R19,1,MATCH(Parametres!$B$3,G$1:R$1,0))*IF(OR(F19="L",F19="S",F19="I"),-1,1)</f>
        <v>141987.87</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3"/>
        <v>G0211</v>
      </c>
      <c r="AU19" s="488" t="str">
        <f t="shared" si="4"/>
        <v>SALAIRES CADRES NEUFS</v>
      </c>
      <c r="AV19" s="899">
        <f>IFERROR(INDEX(V19:AG19,1,MATCH(Parametres!$B$3,V$1:AG$1,0)-1)*IF(OR(C19="L",C19="S",C19="I"),-1,1),"")</f>
        <v>0</v>
      </c>
      <c r="AW19" s="899">
        <f t="shared" si="5"/>
        <v>0</v>
      </c>
      <c r="AX19" s="899">
        <f>INDEX(V19:AG19,1,MATCH(Parametres!$B$3,V$1:AG$1,0))*IF(OR(C19="L",C19="S",C19="I"),-1,1)</f>
        <v>0</v>
      </c>
      <c r="AY19" s="487" t="s">
        <v>337</v>
      </c>
      <c r="AZ19" s="487">
        <f>+VLOOKUP($AJ19,Data_Validation!$A:$E,5,0)</f>
        <v>0</v>
      </c>
    </row>
    <row r="20" spans="1:52" ht="15" hidden="1" customHeight="1">
      <c r="A20" s="706" t="s">
        <v>1148</v>
      </c>
      <c r="B20" s="706">
        <v>2025</v>
      </c>
      <c r="C20" s="706" t="s">
        <v>1210</v>
      </c>
      <c r="D20" s="706" t="s">
        <v>1211</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G0212</v>
      </c>
      <c r="AK20" s="905" t="str">
        <f t="shared" si="1"/>
        <v>RENUM. CADRES-USAGES</v>
      </c>
      <c r="AL20" s="905">
        <f>IFERROR(INDEX(G20:R20,1,MATCH(Parametres!$B$3,G$1:R$1,0)-1)*IF(OR(F20="L",F20="S",F20="I"),-1,1),"")</f>
        <v>114469.55</v>
      </c>
      <c r="AM20" s="905">
        <f t="shared" si="2"/>
        <v>23175.33</v>
      </c>
      <c r="AN20" s="905">
        <f>INDEX(G20:R20,1,MATCH(Parametres!$B$3,G$1:R$1,0))*IF(OR(F20="L",F20="S",F20="I"),-1,1)</f>
        <v>137644.88</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3"/>
        <v>G0212</v>
      </c>
      <c r="AU20" s="488" t="str">
        <f t="shared" si="4"/>
        <v>RENUM. CADRES-USAGES</v>
      </c>
      <c r="AV20" s="899">
        <f>IFERROR(INDEX(V20:AG20,1,MATCH(Parametres!$B$3,V$1:AG$1,0)-1)*IF(OR(C20="L",C20="S",C20="I"),-1,1),"")</f>
        <v>0</v>
      </c>
      <c r="AW20" s="899">
        <f t="shared" si="5"/>
        <v>0</v>
      </c>
      <c r="AX20" s="899">
        <f>INDEX(V20:AG20,1,MATCH(Parametres!$B$3,V$1:AG$1,0))*IF(OR(C20="L",C20="S",C20="I"),-1,1)</f>
        <v>0</v>
      </c>
      <c r="AY20" s="487" t="s">
        <v>337</v>
      </c>
      <c r="AZ20" s="487">
        <f>+VLOOKUP($AJ20,Data_Validation!$A:$E,5,0)</f>
        <v>0</v>
      </c>
    </row>
    <row r="21" spans="1:52" ht="15" hidden="1" customHeight="1">
      <c r="A21" s="706" t="s">
        <v>1148</v>
      </c>
      <c r="B21" s="706">
        <v>2025</v>
      </c>
      <c r="C21" s="706" t="s">
        <v>1212</v>
      </c>
      <c r="D21" s="706" t="s">
        <v>1213</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G0213</v>
      </c>
      <c r="AK21" s="905" t="str">
        <f t="shared" si="1"/>
        <v>SALAIRE CADRE U.S.A</v>
      </c>
      <c r="AL21" s="905">
        <f>IFERROR(INDEX(G21:R21,1,MATCH(Parametres!$B$3,G$1:R$1,0)-1)*IF(OR(F21="L",F21="S",F21="I"),-1,1),"")</f>
        <v>331828.59000000003</v>
      </c>
      <c r="AM21" s="905">
        <f t="shared" si="2"/>
        <v>1000</v>
      </c>
      <c r="AN21" s="905">
        <f>INDEX(G21:R21,1,MATCH(Parametres!$B$3,G$1:R$1,0))*IF(OR(F21="L",F21="S",F21="I"),-1,1)</f>
        <v>332828.59000000003</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3"/>
        <v>G0213</v>
      </c>
      <c r="AU21" s="488" t="str">
        <f t="shared" si="4"/>
        <v>SALAIRE CADRE U.S.A</v>
      </c>
      <c r="AV21" s="899">
        <f>IFERROR(INDEX(V21:AG21,1,MATCH(Parametres!$B$3,V$1:AG$1,0)-1)*IF(OR(C21="L",C21="S",C21="I"),-1,1),"")</f>
        <v>0</v>
      </c>
      <c r="AW21" s="899">
        <f t="shared" si="5"/>
        <v>0</v>
      </c>
      <c r="AX21" s="899">
        <f>INDEX(V21:AG21,1,MATCH(Parametres!$B$3,V$1:AG$1,0))*IF(OR(C21="L",C21="S",C21="I"),-1,1)</f>
        <v>0</v>
      </c>
      <c r="AY21" s="487" t="s">
        <v>337</v>
      </c>
      <c r="AZ21" s="487">
        <f>+VLOOKUP($AJ21,Data_Validation!$A:$E,5,0)</f>
        <v>0</v>
      </c>
    </row>
    <row r="22" spans="1:52" ht="15" hidden="1" customHeight="1">
      <c r="A22" s="706" t="s">
        <v>1148</v>
      </c>
      <c r="B22" s="706">
        <v>2025</v>
      </c>
      <c r="C22" s="706" t="s">
        <v>1214</v>
      </c>
      <c r="D22" s="706" t="s">
        <v>1215</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G0214</v>
      </c>
      <c r="AK22" s="905" t="str">
        <f t="shared" si="1"/>
        <v>SALAIRES CADRES SERV.</v>
      </c>
      <c r="AL22" s="905">
        <f>IFERROR(INDEX(G22:R22,1,MATCH(Parametres!$B$3,G$1:R$1,0)-1)*IF(OR(F22="L",F22="S",F22="I"),-1,1),"")</f>
        <v>89444.98</v>
      </c>
      <c r="AM22" s="905">
        <f t="shared" si="2"/>
        <v>17649.010000000009</v>
      </c>
      <c r="AN22" s="905">
        <f>INDEX(G22:R22,1,MATCH(Parametres!$B$3,G$1:R$1,0))*IF(OR(F22="L",F22="S",F22="I"),-1,1)</f>
        <v>107093.99</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3"/>
        <v>G0214</v>
      </c>
      <c r="AU22" s="488" t="str">
        <f t="shared" si="4"/>
        <v>SALAIRES CADRES SERV.</v>
      </c>
      <c r="AV22" s="899">
        <f>IFERROR(INDEX(V22:AG22,1,MATCH(Parametres!$B$3,V$1:AG$1,0)-1)*IF(OR(C22="L",C22="S",C22="I"),-1,1),"")</f>
        <v>0</v>
      </c>
      <c r="AW22" s="899">
        <f t="shared" si="5"/>
        <v>0</v>
      </c>
      <c r="AX22" s="899">
        <f>INDEX(V22:AG22,1,MATCH(Parametres!$B$3,V$1:AG$1,0))*IF(OR(C22="L",C22="S",C22="I"),-1,1)</f>
        <v>0</v>
      </c>
      <c r="AY22" s="487" t="s">
        <v>337</v>
      </c>
      <c r="AZ22" s="487">
        <f>+VLOOKUP($AJ22,Data_Validation!$A:$E,5,0)</f>
        <v>0</v>
      </c>
    </row>
    <row r="23" spans="1:52" ht="15" hidden="1" customHeight="1">
      <c r="A23" s="706" t="s">
        <v>1148</v>
      </c>
      <c r="B23" s="706">
        <v>2025</v>
      </c>
      <c r="C23" s="706" t="s">
        <v>1216</v>
      </c>
      <c r="D23" s="706" t="s">
        <v>1217</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G0215</v>
      </c>
      <c r="AK23" s="905" t="str">
        <f t="shared" si="1"/>
        <v>RENUM. CADRES-CARROSSERIE</v>
      </c>
      <c r="AL23" s="905">
        <f>IFERROR(INDEX(G23:R23,1,MATCH(Parametres!$B$3,G$1:R$1,0)-1)*IF(OR(F23="L",F23="S",F23="I"),-1,1),"")</f>
        <v>94248.07</v>
      </c>
      <c r="AM23" s="905">
        <f t="shared" si="2"/>
        <v>16842.619999999995</v>
      </c>
      <c r="AN23" s="905">
        <f>INDEX(G23:R23,1,MATCH(Parametres!$B$3,G$1:R$1,0))*IF(OR(F23="L",F23="S",F23="I"),-1,1)</f>
        <v>111090.69</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3"/>
        <v>G0215</v>
      </c>
      <c r="AU23" s="488" t="str">
        <f t="shared" si="4"/>
        <v>RENUM. CADRES-CARROSSERIE</v>
      </c>
      <c r="AV23" s="899">
        <f>IFERROR(INDEX(V23:AG23,1,MATCH(Parametres!$B$3,V$1:AG$1,0)-1)*IF(OR(C23="L",C23="S",C23="I"),-1,1),"")</f>
        <v>0</v>
      </c>
      <c r="AW23" s="899">
        <f t="shared" si="5"/>
        <v>0</v>
      </c>
      <c r="AX23" s="899">
        <f>INDEX(V23:AG23,1,MATCH(Parametres!$B$3,V$1:AG$1,0))*IF(OR(C23="L",C23="S",C23="I"),-1,1)</f>
        <v>0</v>
      </c>
      <c r="AY23" s="487" t="s">
        <v>337</v>
      </c>
      <c r="AZ23" s="487">
        <f>+VLOOKUP($AJ23,Data_Validation!$A:$E,5,0)</f>
        <v>0</v>
      </c>
    </row>
    <row r="24" spans="1:52" ht="15" hidden="1" customHeight="1">
      <c r="A24" s="706" t="s">
        <v>1148</v>
      </c>
      <c r="B24" s="706">
        <v>2025</v>
      </c>
      <c r="C24" s="706" t="s">
        <v>1218</v>
      </c>
      <c r="D24" s="706" t="s">
        <v>1219</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G0216</v>
      </c>
      <c r="AK24" s="905" t="str">
        <f t="shared" si="1"/>
        <v>SALAIRES CADRES-PCES</v>
      </c>
      <c r="AL24" s="905">
        <f>IFERROR(INDEX(G24:R24,1,MATCH(Parametres!$B$3,G$1:R$1,0)-1)*IF(OR(F24="L",F24="S",F24="I"),-1,1),"")</f>
        <v>24008.25</v>
      </c>
      <c r="AM24" s="905">
        <f t="shared" si="2"/>
        <v>-3236.41</v>
      </c>
      <c r="AN24" s="905">
        <f>INDEX(G24:R24,1,MATCH(Parametres!$B$3,G$1:R$1,0))*IF(OR(F24="L",F24="S",F24="I"),-1,1)</f>
        <v>20771.84</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3"/>
        <v>G0216</v>
      </c>
      <c r="AU24" s="488" t="str">
        <f t="shared" si="4"/>
        <v>SALAIRES CADRES-PCES</v>
      </c>
      <c r="AV24" s="899">
        <f>IFERROR(INDEX(V24:AG24,1,MATCH(Parametres!$B$3,V$1:AG$1,0)-1)*IF(OR(C24="L",C24="S",C24="I"),-1,1),"")</f>
        <v>0</v>
      </c>
      <c r="AW24" s="899">
        <f t="shared" si="5"/>
        <v>0</v>
      </c>
      <c r="AX24" s="899">
        <f>INDEX(V24:AG24,1,MATCH(Parametres!$B$3,V$1:AG$1,0))*IF(OR(C24="L",C24="S",C24="I"),-1,1)</f>
        <v>0</v>
      </c>
      <c r="AY24" s="487" t="s">
        <v>337</v>
      </c>
      <c r="AZ24" s="487">
        <f>+VLOOKUP($AJ24,Data_Validation!$A:$E,5,0)</f>
        <v>0</v>
      </c>
    </row>
    <row r="25" spans="1:52" ht="15" customHeight="1">
      <c r="A25" s="706" t="s">
        <v>1148</v>
      </c>
      <c r="B25" s="706">
        <v>2025</v>
      </c>
      <c r="C25" s="706" t="s">
        <v>1222</v>
      </c>
      <c r="D25" s="706" t="s">
        <v>1223</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G0220</v>
      </c>
      <c r="AK25" s="905" t="str">
        <f t="shared" si="1"/>
        <v>SALAIRE BUREAU REP.</v>
      </c>
      <c r="AL25" s="905">
        <f>IFERROR(INDEX(G25:R25,1,MATCH(Parametres!$B$3,G$1:R$1,0)-1)*IF(OR(F25="L",F25="S",F25="I"),-1,1),"")</f>
        <v>0</v>
      </c>
      <c r="AM25" s="905">
        <f t="shared" si="2"/>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3"/>
        <v>G0220</v>
      </c>
      <c r="AU25" s="488" t="str">
        <f t="shared" si="4"/>
        <v>SALAIRE BUREAU REP.</v>
      </c>
      <c r="AV25" s="899">
        <f>IFERROR(INDEX(V25:AG25,1,MATCH(Parametres!$B$3,V$1:AG$1,0)-1)*IF(OR(C25="L",C25="S",C25="I"),-1,1),"")</f>
        <v>0</v>
      </c>
      <c r="AW25" s="899">
        <f t="shared" si="5"/>
        <v>0</v>
      </c>
      <c r="AX25" s="899">
        <f>INDEX(V25:AG25,1,MATCH(Parametres!$B$3,V$1:AG$1,0))*IF(OR(C25="L",C25="S",C25="I"),-1,1)</f>
        <v>0</v>
      </c>
      <c r="AY25" s="487" t="s">
        <v>337</v>
      </c>
      <c r="AZ25" s="487" t="e">
        <f>+VLOOKUP($AJ25,Data_Validation!$A:$E,5,0)</f>
        <v>#N/A</v>
      </c>
    </row>
    <row r="26" spans="1:52" ht="15.75" hidden="1" customHeight="1">
      <c r="A26" s="706" t="s">
        <v>1148</v>
      </c>
      <c r="B26" s="706">
        <v>2025</v>
      </c>
      <c r="C26" s="706" t="s">
        <v>1224</v>
      </c>
      <c r="D26" s="706" t="s">
        <v>1225</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G0221</v>
      </c>
      <c r="AK26" s="905" t="str">
        <f t="shared" si="1"/>
        <v>SALAIRES BUREAU NEUFS</v>
      </c>
      <c r="AL26" s="905">
        <f>IFERROR(INDEX(G26:R26,1,MATCH(Parametres!$B$3,G$1:R$1,0)-1)*IF(OR(F26="L",F26="S",F26="I"),-1,1),"")</f>
        <v>232543.78</v>
      </c>
      <c r="AM26" s="905">
        <f t="shared" si="2"/>
        <v>30213.120000000024</v>
      </c>
      <c r="AN26" s="905">
        <f>INDEX(G26:R26,1,MATCH(Parametres!$B$3,G$1:R$1,0))*IF(OR(F26="L",F26="S",F26="I"),-1,1)</f>
        <v>262756.90000000002</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3"/>
        <v>G0221</v>
      </c>
      <c r="AU26" s="488" t="str">
        <f t="shared" si="4"/>
        <v>SALAIRES BUREAU NEUFS</v>
      </c>
      <c r="AV26" s="899">
        <f>IFERROR(INDEX(V26:AG26,1,MATCH(Parametres!$B$3,V$1:AG$1,0)-1)*IF(OR(C26="L",C26="S",C26="I"),-1,1),"")</f>
        <v>0</v>
      </c>
      <c r="AW26" s="899">
        <f t="shared" si="5"/>
        <v>0</v>
      </c>
      <c r="AX26" s="899">
        <f>INDEX(V26:AG26,1,MATCH(Parametres!$B$3,V$1:AG$1,0))*IF(OR(C26="L",C26="S",C26="I"),-1,1)</f>
        <v>0</v>
      </c>
      <c r="AY26" s="487" t="s">
        <v>337</v>
      </c>
      <c r="AZ26" s="487">
        <f>+VLOOKUP($AJ26,Data_Validation!$A:$E,5,0)</f>
        <v>0</v>
      </c>
    </row>
    <row r="27" spans="1:52" ht="15" hidden="1" customHeight="1">
      <c r="A27" s="706" t="s">
        <v>1148</v>
      </c>
      <c r="B27" s="706">
        <v>2025</v>
      </c>
      <c r="C27" s="706" t="s">
        <v>1226</v>
      </c>
      <c r="D27" s="706" t="s">
        <v>1227</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G0222</v>
      </c>
      <c r="AK27" s="905" t="str">
        <f t="shared" si="1"/>
        <v>SALAIRES BUREAU USAGES</v>
      </c>
      <c r="AL27" s="905">
        <f>IFERROR(INDEX(G27:R27,1,MATCH(Parametres!$B$3,G$1:R$1,0)-1)*IF(OR(F27="L",F27="S",F27="I"),-1,1),"")</f>
        <v>50995.63</v>
      </c>
      <c r="AM27" s="905">
        <f t="shared" si="2"/>
        <v>5598.5500000000029</v>
      </c>
      <c r="AN27" s="905">
        <f>INDEX(G27:R27,1,MATCH(Parametres!$B$3,G$1:R$1,0))*IF(OR(F27="L",F27="S",F27="I"),-1,1)</f>
        <v>56594.18</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3"/>
        <v>G0222</v>
      </c>
      <c r="AU27" s="488" t="str">
        <f t="shared" si="4"/>
        <v>SALAIRES BUREAU USAGES</v>
      </c>
      <c r="AV27" s="899">
        <f>IFERROR(INDEX(V27:AG27,1,MATCH(Parametres!$B$3,V$1:AG$1,0)-1)*IF(OR(C27="L",C27="S",C27="I"),-1,1),"")</f>
        <v>0</v>
      </c>
      <c r="AW27" s="899">
        <f t="shared" si="5"/>
        <v>0</v>
      </c>
      <c r="AX27" s="899">
        <f>INDEX(V27:AG27,1,MATCH(Parametres!$B$3,V$1:AG$1,0))*IF(OR(C27="L",C27="S",C27="I"),-1,1)</f>
        <v>0</v>
      </c>
      <c r="AY27" s="487" t="s">
        <v>337</v>
      </c>
      <c r="AZ27" s="487">
        <f>+VLOOKUP($AJ27,Data_Validation!$A:$E,5,0)</f>
        <v>0</v>
      </c>
    </row>
    <row r="28" spans="1:52" ht="15" hidden="1" customHeight="1">
      <c r="A28" s="706" t="s">
        <v>1148</v>
      </c>
      <c r="B28" s="706">
        <v>2025</v>
      </c>
      <c r="C28" s="706" t="s">
        <v>1228</v>
      </c>
      <c r="D28" s="706" t="s">
        <v>1229</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G0223</v>
      </c>
      <c r="AK28" s="905" t="str">
        <f t="shared" si="1"/>
        <v>SALAIRES BUREAU U.S.A</v>
      </c>
      <c r="AL28" s="905">
        <f>IFERROR(INDEX(G28:R28,1,MATCH(Parametres!$B$3,G$1:R$1,0)-1)*IF(OR(F28="L",F28="S",F28="I"),-1,1),"")</f>
        <v>94477.06</v>
      </c>
      <c r="AM28" s="905">
        <f t="shared" si="2"/>
        <v>18504.320000000007</v>
      </c>
      <c r="AN28" s="905">
        <f>INDEX(G28:R28,1,MATCH(Parametres!$B$3,G$1:R$1,0))*IF(OR(F28="L",F28="S",F28="I"),-1,1)</f>
        <v>112981.38</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3"/>
        <v>G0223</v>
      </c>
      <c r="AU28" s="488" t="str">
        <f t="shared" si="4"/>
        <v>SALAIRES BUREAU U.S.A</v>
      </c>
      <c r="AV28" s="899">
        <f>IFERROR(INDEX(V28:AG28,1,MATCH(Parametres!$B$3,V$1:AG$1,0)-1)*IF(OR(C28="L",C28="S",C28="I"),-1,1),"")</f>
        <v>0</v>
      </c>
      <c r="AW28" s="899">
        <f t="shared" si="5"/>
        <v>0</v>
      </c>
      <c r="AX28" s="899">
        <f>INDEX(V28:AG28,1,MATCH(Parametres!$B$3,V$1:AG$1,0))*IF(OR(C28="L",C28="S",C28="I"),-1,1)</f>
        <v>0</v>
      </c>
      <c r="AY28" s="487" t="s">
        <v>337</v>
      </c>
      <c r="AZ28" s="487">
        <f>+VLOOKUP($AJ28,Data_Validation!$A:$E,5,0)</f>
        <v>0</v>
      </c>
    </row>
    <row r="29" spans="1:52" ht="15" hidden="1" customHeight="1">
      <c r="A29" s="706" t="s">
        <v>1148</v>
      </c>
      <c r="B29" s="706">
        <v>2025</v>
      </c>
      <c r="C29" s="706" t="s">
        <v>1230</v>
      </c>
      <c r="D29" s="706" t="s">
        <v>1231</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G0224</v>
      </c>
      <c r="AK29" s="905" t="str">
        <f t="shared" si="1"/>
        <v>SALAIRES BUREAU SERVICE</v>
      </c>
      <c r="AL29" s="905">
        <f>IFERROR(INDEX(G29:R29,1,MATCH(Parametres!$B$3,G$1:R$1,0)-1)*IF(OR(F29="L",F29="S",F29="I"),-1,1),"")</f>
        <v>230406.04</v>
      </c>
      <c r="AM29" s="905">
        <f t="shared" si="2"/>
        <v>30423.679999999993</v>
      </c>
      <c r="AN29" s="905">
        <f>INDEX(G29:R29,1,MATCH(Parametres!$B$3,G$1:R$1,0))*IF(OR(F29="L",F29="S",F29="I"),-1,1)</f>
        <v>260829.72</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3"/>
        <v>G0224</v>
      </c>
      <c r="AU29" s="488" t="str">
        <f t="shared" si="4"/>
        <v>SALAIRES BUREAU SERVICE</v>
      </c>
      <c r="AV29" s="899">
        <f>IFERROR(INDEX(V29:AG29,1,MATCH(Parametres!$B$3,V$1:AG$1,0)-1)*IF(OR(C29="L",C29="S",C29="I"),-1,1),"")</f>
        <v>0</v>
      </c>
      <c r="AW29" s="899">
        <f t="shared" si="5"/>
        <v>0</v>
      </c>
      <c r="AX29" s="899">
        <f>INDEX(V29:AG29,1,MATCH(Parametres!$B$3,V$1:AG$1,0))*IF(OR(C29="L",C29="S",C29="I"),-1,1)</f>
        <v>0</v>
      </c>
      <c r="AY29" s="487" t="s">
        <v>337</v>
      </c>
      <c r="AZ29" s="487">
        <f>+VLOOKUP($AJ29,Data_Validation!$A:$E,5,0)</f>
        <v>0</v>
      </c>
    </row>
    <row r="30" spans="1:52" ht="15" hidden="1" customHeight="1">
      <c r="A30" s="706" t="s">
        <v>1148</v>
      </c>
      <c r="B30" s="706">
        <v>2025</v>
      </c>
      <c r="C30" s="706" t="s">
        <v>1232</v>
      </c>
      <c r="D30" s="706" t="s">
        <v>1233</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G0225</v>
      </c>
      <c r="AK30" s="905" t="str">
        <f t="shared" si="1"/>
        <v>SALAIRES BUREAU CARROS.</v>
      </c>
      <c r="AL30" s="905">
        <f>IFERROR(INDEX(G30:R30,1,MATCH(Parametres!$B$3,G$1:R$1,0)-1)*IF(OR(F30="L",F30="S",F30="I"),-1,1),"")</f>
        <v>65265.05</v>
      </c>
      <c r="AM30" s="905">
        <f t="shared" si="2"/>
        <v>7337.179999999993</v>
      </c>
      <c r="AN30" s="905">
        <f>INDEX(G30:R30,1,MATCH(Parametres!$B$3,G$1:R$1,0))*IF(OR(F30="L",F30="S",F30="I"),-1,1)</f>
        <v>72602.23</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3"/>
        <v>G0225</v>
      </c>
      <c r="AU30" s="488" t="str">
        <f t="shared" si="4"/>
        <v>SALAIRES BUREAU CARROS.</v>
      </c>
      <c r="AV30" s="899">
        <f>IFERROR(INDEX(V30:AG30,1,MATCH(Parametres!$B$3,V$1:AG$1,0)-1)*IF(OR(C30="L",C30="S",C30="I"),-1,1),"")</f>
        <v>0</v>
      </c>
      <c r="AW30" s="899">
        <f t="shared" si="5"/>
        <v>0</v>
      </c>
      <c r="AX30" s="899">
        <f>INDEX(V30:AG30,1,MATCH(Parametres!$B$3,V$1:AG$1,0))*IF(OR(C30="L",C30="S",C30="I"),-1,1)</f>
        <v>0</v>
      </c>
      <c r="AY30" s="487" t="s">
        <v>337</v>
      </c>
      <c r="AZ30" s="487">
        <f>+VLOOKUP($AJ30,Data_Validation!$A:$E,5,0)</f>
        <v>0</v>
      </c>
    </row>
    <row r="31" spans="1:52" ht="15" hidden="1" customHeight="1">
      <c r="A31" s="706" t="s">
        <v>1148</v>
      </c>
      <c r="B31" s="706">
        <v>2025</v>
      </c>
      <c r="C31" s="706" t="s">
        <v>1234</v>
      </c>
      <c r="D31" s="706" t="s">
        <v>1235</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G0226</v>
      </c>
      <c r="AK31" s="905" t="str">
        <f t="shared" si="1"/>
        <v>SALAIRES BUREAU PCES</v>
      </c>
      <c r="AL31" s="905">
        <f>IFERROR(INDEX(G31:R31,1,MATCH(Parametres!$B$3,G$1:R$1,0)-1)*IF(OR(F31="L",F31="S",F31="I"),-1,1),"")</f>
        <v>22358.87</v>
      </c>
      <c r="AM31" s="905">
        <f t="shared" si="2"/>
        <v>3159.4700000000012</v>
      </c>
      <c r="AN31" s="905">
        <f>INDEX(G31:R31,1,MATCH(Parametres!$B$3,G$1:R$1,0))*IF(OR(F31="L",F31="S",F31="I"),-1,1)</f>
        <v>25518.34</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3"/>
        <v>G0226</v>
      </c>
      <c r="AU31" s="488" t="str">
        <f t="shared" si="4"/>
        <v>SALAIRES BUREAU PCES</v>
      </c>
      <c r="AV31" s="899">
        <f>IFERROR(INDEX(V31:AG31,1,MATCH(Parametres!$B$3,V$1:AG$1,0)-1)*IF(OR(C31="L",C31="S",C31="I"),-1,1),"")</f>
        <v>0</v>
      </c>
      <c r="AW31" s="899">
        <f t="shared" si="5"/>
        <v>0</v>
      </c>
      <c r="AX31" s="899">
        <f>INDEX(V31:AG31,1,MATCH(Parametres!$B$3,V$1:AG$1,0))*IF(OR(C31="L",C31="S",C31="I"),-1,1)</f>
        <v>0</v>
      </c>
      <c r="AY31" s="487" t="s">
        <v>337</v>
      </c>
      <c r="AZ31" s="487">
        <f>+VLOOKUP($AJ31,Data_Validation!$A:$E,5,0)</f>
        <v>0</v>
      </c>
    </row>
    <row r="32" spans="1:52" ht="15" customHeight="1">
      <c r="A32" s="706" t="s">
        <v>1148</v>
      </c>
      <c r="B32" s="706">
        <v>2025</v>
      </c>
      <c r="C32" s="706" t="s">
        <v>1238</v>
      </c>
      <c r="D32" s="706" t="s">
        <v>1239</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G0230</v>
      </c>
      <c r="AK32" s="905" t="str">
        <f t="shared" si="1"/>
        <v>SALAIRES AUTRES REP.</v>
      </c>
      <c r="AL32" s="905">
        <f>IFERROR(INDEX(G32:R32,1,MATCH(Parametres!$B$3,G$1:R$1,0)-1)*IF(OR(F32="L",F32="S",F32="I"),-1,1),"")</f>
        <v>0</v>
      </c>
      <c r="AM32" s="905">
        <f t="shared" si="2"/>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G0230</v>
      </c>
      <c r="AU32" s="488" t="str">
        <f t="shared" si="4"/>
        <v>SALAIRES AUTRES REP.</v>
      </c>
      <c r="AV32" s="899">
        <f>IFERROR(INDEX(V32:AG32,1,MATCH(Parametres!$B$3,V$1:AG$1,0)-1)*IF(OR(C32="L",C32="S",C32="I"),-1,1),"")</f>
        <v>0</v>
      </c>
      <c r="AW32" s="899">
        <f t="shared" si="5"/>
        <v>0</v>
      </c>
      <c r="AX32" s="899">
        <f>INDEX(V32:AG32,1,MATCH(Parametres!$B$3,V$1:AG$1,0))*IF(OR(C32="L",C32="S",C32="I"),-1,1)</f>
        <v>0</v>
      </c>
      <c r="AY32" s="487" t="s">
        <v>337</v>
      </c>
      <c r="AZ32" s="487" t="e">
        <f>+VLOOKUP($AJ32,Data_Validation!$A:$E,5,0)</f>
        <v>#N/A</v>
      </c>
    </row>
    <row r="33" spans="1:52" ht="15" hidden="1" customHeight="1">
      <c r="A33" s="706" t="s">
        <v>1148</v>
      </c>
      <c r="B33" s="706">
        <v>2025</v>
      </c>
      <c r="C33" s="706" t="s">
        <v>1240</v>
      </c>
      <c r="D33" s="706" t="s">
        <v>1241</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G0231</v>
      </c>
      <c r="AK33" s="905" t="str">
        <f t="shared" si="1"/>
        <v>SALAIRES AUTRES NEUFS</v>
      </c>
      <c r="AL33" s="905">
        <f>IFERROR(INDEX(G33:R33,1,MATCH(Parametres!$B$3,G$1:R$1,0)-1)*IF(OR(F33="L",F33="S",F33="I"),-1,1),"")</f>
        <v>31061.38</v>
      </c>
      <c r="AM33" s="905">
        <f t="shared" si="2"/>
        <v>4111.4999999999964</v>
      </c>
      <c r="AN33" s="905">
        <f>INDEX(G33:R33,1,MATCH(Parametres!$B$3,G$1:R$1,0))*IF(OR(F33="L",F33="S",F33="I"),-1,1)</f>
        <v>35172.879999999997</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3"/>
        <v>G0231</v>
      </c>
      <c r="AU33" s="488" t="str">
        <f t="shared" si="4"/>
        <v>SALAIRES AUTRES NEUFS</v>
      </c>
      <c r="AV33" s="899">
        <f>IFERROR(INDEX(V33:AG33,1,MATCH(Parametres!$B$3,V$1:AG$1,0)-1)*IF(OR(C33="L",C33="S",C33="I"),-1,1),"")</f>
        <v>0</v>
      </c>
      <c r="AW33" s="899">
        <f t="shared" si="5"/>
        <v>0</v>
      </c>
      <c r="AX33" s="899">
        <f>INDEX(V33:AG33,1,MATCH(Parametres!$B$3,V$1:AG$1,0))*IF(OR(C33="L",C33="S",C33="I"),-1,1)</f>
        <v>0</v>
      </c>
      <c r="AY33" s="487" t="s">
        <v>337</v>
      </c>
      <c r="AZ33" s="487">
        <f>+VLOOKUP($AJ33,Data_Validation!$A:$E,5,0)</f>
        <v>0</v>
      </c>
    </row>
    <row r="34" spans="1:52" ht="15.75" hidden="1" customHeight="1">
      <c r="A34" s="706" t="s">
        <v>1148</v>
      </c>
      <c r="B34" s="706">
        <v>2025</v>
      </c>
      <c r="C34" s="706" t="s">
        <v>1242</v>
      </c>
      <c r="D34" s="706" t="s">
        <v>1243</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G0232</v>
      </c>
      <c r="AK34" s="905" t="str">
        <f t="shared" si="1"/>
        <v>SALAIRES AUTRES USAGES</v>
      </c>
      <c r="AL34" s="905">
        <f>IFERROR(INDEX(G34:R34,1,MATCH(Parametres!$B$3,G$1:R$1,0)-1)*IF(OR(F34="L",F34="S",F34="I"),-1,1),"")</f>
        <v>16756.259999999998</v>
      </c>
      <c r="AM34" s="905">
        <f t="shared" si="2"/>
        <v>1440.7200000000012</v>
      </c>
      <c r="AN34" s="905">
        <f>INDEX(G34:R34,1,MATCH(Parametres!$B$3,G$1:R$1,0))*IF(OR(F34="L",F34="S",F34="I"),-1,1)</f>
        <v>18196.98</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3"/>
        <v>G0232</v>
      </c>
      <c r="AU34" s="488" t="str">
        <f t="shared" si="4"/>
        <v>SALAIRES AUTRES USAGES</v>
      </c>
      <c r="AV34" s="899">
        <f>IFERROR(INDEX(V34:AG34,1,MATCH(Parametres!$B$3,V$1:AG$1,0)-1)*IF(OR(C34="L",C34="S",C34="I"),-1,1),"")</f>
        <v>0</v>
      </c>
      <c r="AW34" s="899">
        <f t="shared" si="5"/>
        <v>0</v>
      </c>
      <c r="AX34" s="899">
        <f>INDEX(V34:AG34,1,MATCH(Parametres!$B$3,V$1:AG$1,0))*IF(OR(C34="L",C34="S",C34="I"),-1,1)</f>
        <v>0</v>
      </c>
      <c r="AY34" s="487" t="s">
        <v>337</v>
      </c>
      <c r="AZ34" s="487">
        <f>+VLOOKUP($AJ34,Data_Validation!$A:$E,5,0)</f>
        <v>0</v>
      </c>
    </row>
    <row r="35" spans="1:52" ht="15" hidden="1" customHeight="1">
      <c r="A35" s="706" t="s">
        <v>1148</v>
      </c>
      <c r="B35" s="706">
        <v>2025</v>
      </c>
      <c r="C35" s="706" t="s">
        <v>1244</v>
      </c>
      <c r="D35" s="706" t="s">
        <v>1245</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G0233</v>
      </c>
      <c r="AK35" s="905" t="str">
        <f t="shared" si="1"/>
        <v>SALAIRES AUTRES U.S.A</v>
      </c>
      <c r="AL35" s="905">
        <f>IFERROR(INDEX(G35:R35,1,MATCH(Parametres!$B$3,G$1:R$1,0)-1)*IF(OR(F35="L",F35="S",F35="I"),-1,1),"")</f>
        <v>356557.49</v>
      </c>
      <c r="AM35" s="905">
        <f t="shared" si="2"/>
        <v>-50135.229999999981</v>
      </c>
      <c r="AN35" s="905">
        <f>INDEX(G35:R35,1,MATCH(Parametres!$B$3,G$1:R$1,0))*IF(OR(F35="L",F35="S",F35="I"),-1,1)</f>
        <v>306422.26</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3"/>
        <v>G0233</v>
      </c>
      <c r="AU35" s="488" t="str">
        <f t="shared" si="4"/>
        <v>SALAIRES AUTRES U.S.A</v>
      </c>
      <c r="AV35" s="899">
        <f>IFERROR(INDEX(V35:AG35,1,MATCH(Parametres!$B$3,V$1:AG$1,0)-1)*IF(OR(C35="L",C35="S",C35="I"),-1,1),"")</f>
        <v>0</v>
      </c>
      <c r="AW35" s="899">
        <f t="shared" si="5"/>
        <v>0</v>
      </c>
      <c r="AX35" s="899">
        <f>INDEX(V35:AG35,1,MATCH(Parametres!$B$3,V$1:AG$1,0))*IF(OR(C35="L",C35="S",C35="I"),-1,1)</f>
        <v>0</v>
      </c>
      <c r="AY35" s="487" t="s">
        <v>337</v>
      </c>
      <c r="AZ35" s="487">
        <f>+VLOOKUP($AJ35,Data_Validation!$A:$E,5,0)</f>
        <v>0</v>
      </c>
    </row>
    <row r="36" spans="1:52" ht="15" hidden="1" customHeight="1">
      <c r="A36" s="706" t="s">
        <v>1148</v>
      </c>
      <c r="B36" s="706">
        <v>2025</v>
      </c>
      <c r="C36" s="706" t="s">
        <v>1246</v>
      </c>
      <c r="D36" s="706" t="s">
        <v>1247</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G0234</v>
      </c>
      <c r="AK36" s="905" t="str">
        <f t="shared" si="1"/>
        <v>SALAIRES AUTRES SERV.</v>
      </c>
      <c r="AL36" s="905">
        <f>IFERROR(INDEX(G36:R36,1,MATCH(Parametres!$B$3,G$1:R$1,0)-1)*IF(OR(F36="L",F36="S",F36="I"),-1,1),"")</f>
        <v>243634.88</v>
      </c>
      <c r="AM36" s="905">
        <f t="shared" si="2"/>
        <v>18089.72</v>
      </c>
      <c r="AN36" s="905">
        <f>INDEX(G36:R36,1,MATCH(Parametres!$B$3,G$1:R$1,0))*IF(OR(F36="L",F36="S",F36="I"),-1,1)</f>
        <v>261724.6</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3"/>
        <v>G0234</v>
      </c>
      <c r="AU36" s="488" t="str">
        <f t="shared" si="4"/>
        <v>SALAIRES AUTRES SERV.</v>
      </c>
      <c r="AV36" s="899">
        <f>IFERROR(INDEX(V36:AG36,1,MATCH(Parametres!$B$3,V$1:AG$1,0)-1)*IF(OR(C36="L",C36="S",C36="I"),-1,1),"")</f>
        <v>0</v>
      </c>
      <c r="AW36" s="899">
        <f t="shared" si="5"/>
        <v>0</v>
      </c>
      <c r="AX36" s="899">
        <f>INDEX(V36:AG36,1,MATCH(Parametres!$B$3,V$1:AG$1,0))*IF(OR(C36="L",C36="S",C36="I"),-1,1)</f>
        <v>0</v>
      </c>
      <c r="AY36" s="487" t="s">
        <v>337</v>
      </c>
      <c r="AZ36" s="487">
        <f>+VLOOKUP($AJ36,Data_Validation!$A:$E,5,0)</f>
        <v>0</v>
      </c>
    </row>
    <row r="37" spans="1:52" ht="15" hidden="1" customHeight="1">
      <c r="A37" s="706" t="s">
        <v>1148</v>
      </c>
      <c r="B37" s="706">
        <v>2025</v>
      </c>
      <c r="C37" s="706" t="s">
        <v>1248</v>
      </c>
      <c r="D37" s="706" t="s">
        <v>1249</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G0235</v>
      </c>
      <c r="AK37" s="905" t="str">
        <f t="shared" si="1"/>
        <v>SALAIRES AUTRES CARR.</v>
      </c>
      <c r="AL37" s="905">
        <f>IFERROR(INDEX(G37:R37,1,MATCH(Parametres!$B$3,G$1:R$1,0)-1)*IF(OR(F37="L",F37="S",F37="I"),-1,1),"")</f>
        <v>76</v>
      </c>
      <c r="AM37" s="905">
        <f t="shared" si="2"/>
        <v>0</v>
      </c>
      <c r="AN37" s="905">
        <f>INDEX(G37:R37,1,MATCH(Parametres!$B$3,G$1:R$1,0))*IF(OR(F37="L",F37="S",F37="I"),-1,1)</f>
        <v>76</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3"/>
        <v>G0235</v>
      </c>
      <c r="AU37" s="488" t="str">
        <f t="shared" si="4"/>
        <v>SALAIRES AUTRES CARR.</v>
      </c>
      <c r="AV37" s="899">
        <f>IFERROR(INDEX(V37:AG37,1,MATCH(Parametres!$B$3,V$1:AG$1,0)-1)*IF(OR(C37="L",C37="S",C37="I"),-1,1),"")</f>
        <v>0</v>
      </c>
      <c r="AW37" s="899">
        <f t="shared" si="5"/>
        <v>0</v>
      </c>
      <c r="AX37" s="899">
        <f>INDEX(V37:AG37,1,MATCH(Parametres!$B$3,V$1:AG$1,0))*IF(OR(C37="L",C37="S",C37="I"),-1,1)</f>
        <v>0</v>
      </c>
      <c r="AY37" s="487" t="s">
        <v>337</v>
      </c>
      <c r="AZ37" s="487">
        <f>+VLOOKUP($AJ37,Data_Validation!$A:$E,5,0)</f>
        <v>0</v>
      </c>
    </row>
    <row r="38" spans="1:52" ht="15" hidden="1" customHeight="1">
      <c r="A38" s="706" t="s">
        <v>1148</v>
      </c>
      <c r="B38" s="706">
        <v>2025</v>
      </c>
      <c r="C38" s="706" t="s">
        <v>1250</v>
      </c>
      <c r="D38" s="706" t="s">
        <v>1251</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G0236</v>
      </c>
      <c r="AK38" s="905" t="str">
        <f t="shared" si="1"/>
        <v>SALAIRES AUTRES PCES</v>
      </c>
      <c r="AL38" s="905">
        <f>IFERROR(INDEX(G38:R38,1,MATCH(Parametres!$B$3,G$1:R$1,0)-1)*IF(OR(F38="L",F38="S",F38="I"),-1,1),"")</f>
        <v>154728.47</v>
      </c>
      <c r="AM38" s="905">
        <f t="shared" si="2"/>
        <v>19707.420000000013</v>
      </c>
      <c r="AN38" s="905">
        <f>INDEX(G38:R38,1,MATCH(Parametres!$B$3,G$1:R$1,0))*IF(OR(F38="L",F38="S",F38="I"),-1,1)</f>
        <v>174435.89</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3"/>
        <v>G0236</v>
      </c>
      <c r="AU38" s="488" t="str">
        <f t="shared" si="4"/>
        <v>SALAIRES AUTRES PCES</v>
      </c>
      <c r="AV38" s="899">
        <f>IFERROR(INDEX(V38:AG38,1,MATCH(Parametres!$B$3,V$1:AG$1,0)-1)*IF(OR(C38="L",C38="S",C38="I"),-1,1),"")</f>
        <v>0</v>
      </c>
      <c r="AW38" s="899">
        <f t="shared" si="5"/>
        <v>0</v>
      </c>
      <c r="AX38" s="899">
        <f>INDEX(V38:AG38,1,MATCH(Parametres!$B$3,V$1:AG$1,0))*IF(OR(C38="L",C38="S",C38="I"),-1,1)</f>
        <v>0</v>
      </c>
      <c r="AY38" s="487" t="s">
        <v>337</v>
      </c>
      <c r="AZ38" s="487">
        <f>+VLOOKUP($AJ38,Data_Validation!$A:$E,5,0)</f>
        <v>0</v>
      </c>
    </row>
    <row r="39" spans="1:52" ht="15" customHeight="1">
      <c r="A39" s="706" t="s">
        <v>1148</v>
      </c>
      <c r="B39" s="706">
        <v>2025</v>
      </c>
      <c r="C39" s="706" t="s">
        <v>1254</v>
      </c>
      <c r="D39" s="706" t="s">
        <v>1255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G0240</v>
      </c>
      <c r="AK39" s="905" t="str">
        <f t="shared" si="1"/>
        <v>CONGES PAYÉS REP.</v>
      </c>
      <c r="AL39" s="905">
        <f>IFERROR(INDEX(G39:R39,1,MATCH(Parametres!$B$3,G$1:R$1,0)-1)*IF(OR(F39="L",F39="S",F39="I"),-1,1),"")</f>
        <v>0</v>
      </c>
      <c r="AM39" s="905">
        <f t="shared" si="2"/>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G0240</v>
      </c>
      <c r="AU39" s="488" t="str">
        <f t="shared" si="4"/>
        <v>CONGES PAYÉS REP.</v>
      </c>
      <c r="AV39" s="899">
        <f>IFERROR(INDEX(V39:AG39,1,MATCH(Parametres!$B$3,V$1:AG$1,0)-1)*IF(OR(C39="L",C39="S",C39="I"),-1,1),"")</f>
        <v>0</v>
      </c>
      <c r="AW39" s="899">
        <f t="shared" si="5"/>
        <v>0</v>
      </c>
      <c r="AX39" s="899">
        <f>INDEX(V39:AG39,1,MATCH(Parametres!$B$3,V$1:AG$1,0))*IF(OR(C39="L",C39="S",C39="I"),-1,1)</f>
        <v>0</v>
      </c>
      <c r="AY39" s="487" t="s">
        <v>337</v>
      </c>
      <c r="AZ39" s="487" t="e">
        <f>+VLOOKUP($AJ39,Data_Validation!$A:$E,5,0)</f>
        <v>#N/A</v>
      </c>
    </row>
    <row r="40" spans="1:52" ht="15.75" hidden="1" customHeight="1">
      <c r="A40" s="706" t="s">
        <v>1148</v>
      </c>
      <c r="B40" s="706">
        <v>2025</v>
      </c>
      <c r="C40" s="706" t="s">
        <v>1256</v>
      </c>
      <c r="D40" s="706" t="s">
        <v>1257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G0241</v>
      </c>
      <c r="AK40" s="905" t="str">
        <f t="shared" si="1"/>
        <v>CONGES PAYES NEUFS</v>
      </c>
      <c r="AL40" s="905">
        <f>IFERROR(INDEX(G40:R40,1,MATCH(Parametres!$B$3,G$1:R$1,0)-1)*IF(OR(F40="L",F40="S",F40="I"),-1,1),"")</f>
        <v>110342.33</v>
      </c>
      <c r="AM40" s="905">
        <f t="shared" si="2"/>
        <v>13401.940000000002</v>
      </c>
      <c r="AN40" s="905">
        <f>INDEX(G40:R40,1,MATCH(Parametres!$B$3,G$1:R$1,0))*IF(OR(F40="L",F40="S",F40="I"),-1,1)</f>
        <v>123744.27</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3"/>
        <v>G0241</v>
      </c>
      <c r="AU40" s="488" t="str">
        <f t="shared" si="4"/>
        <v>CONGES PAYES NEUFS</v>
      </c>
      <c r="AV40" s="899">
        <f>IFERROR(INDEX(V40:AG40,1,MATCH(Parametres!$B$3,V$1:AG$1,0)-1)*IF(OR(C40="L",C40="S",C40="I"),-1,1),"")</f>
        <v>0</v>
      </c>
      <c r="AW40" s="899">
        <f t="shared" si="5"/>
        <v>0</v>
      </c>
      <c r="AX40" s="899">
        <f>INDEX(V40:AG40,1,MATCH(Parametres!$B$3,V$1:AG$1,0))*IF(OR(C40="L",C40="S",C40="I"),-1,1)</f>
        <v>0</v>
      </c>
      <c r="AY40" s="487" t="s">
        <v>337</v>
      </c>
      <c r="AZ40" s="487">
        <f>+VLOOKUP($AJ40,Data_Validation!$A:$E,5,0)</f>
        <v>0</v>
      </c>
    </row>
    <row r="41" spans="1:52" ht="15" hidden="1" customHeight="1">
      <c r="A41" s="706" t="s">
        <v>1148</v>
      </c>
      <c r="B41" s="706">
        <v>2025</v>
      </c>
      <c r="C41" s="706" t="s">
        <v>1258</v>
      </c>
      <c r="D41" s="706" t="s">
        <v>1259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G0242</v>
      </c>
      <c r="AK41" s="905" t="str">
        <f t="shared" si="1"/>
        <v>CONGES PAYES USAGES</v>
      </c>
      <c r="AL41" s="905">
        <f>IFERROR(INDEX(G41:R41,1,MATCH(Parametres!$B$3,G$1:R$1,0)-1)*IF(OR(F41="L",F41="S",F41="I"),-1,1),"")</f>
        <v>10188.86</v>
      </c>
      <c r="AM41" s="905">
        <f t="shared" si="2"/>
        <v>1562.5599999999995</v>
      </c>
      <c r="AN41" s="905">
        <f>INDEX(G41:R41,1,MATCH(Parametres!$B$3,G$1:R$1,0))*IF(OR(F41="L",F41="S",F41="I"),-1,1)</f>
        <v>11751.42</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3"/>
        <v>G0242</v>
      </c>
      <c r="AU41" s="488" t="str">
        <f t="shared" si="4"/>
        <v>CONGES PAYES USAGES</v>
      </c>
      <c r="AV41" s="899">
        <f>IFERROR(INDEX(V41:AG41,1,MATCH(Parametres!$B$3,V$1:AG$1,0)-1)*IF(OR(C41="L",C41="S",C41="I"),-1,1),"")</f>
        <v>0</v>
      </c>
      <c r="AW41" s="899">
        <f t="shared" si="5"/>
        <v>0</v>
      </c>
      <c r="AX41" s="899">
        <f>INDEX(V41:AG41,1,MATCH(Parametres!$B$3,V$1:AG$1,0))*IF(OR(C41="L",C41="S",C41="I"),-1,1)</f>
        <v>0</v>
      </c>
      <c r="AY41" s="487" t="s">
        <v>337</v>
      </c>
      <c r="AZ41" s="487">
        <f>+VLOOKUP($AJ41,Data_Validation!$A:$E,5,0)</f>
        <v>0</v>
      </c>
    </row>
    <row r="42" spans="1:52" ht="15" hidden="1" customHeight="1">
      <c r="A42" s="706" t="s">
        <v>1148</v>
      </c>
      <c r="B42" s="706">
        <v>2025</v>
      </c>
      <c r="C42" s="706" t="s">
        <v>1260</v>
      </c>
      <c r="D42" s="706" t="s">
        <v>1261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G0243</v>
      </c>
      <c r="AK42" s="905" t="str">
        <f t="shared" si="1"/>
        <v>CONGES PAYES U.S.A</v>
      </c>
      <c r="AL42" s="905">
        <f>IFERROR(INDEX(G42:R42,1,MATCH(Parametres!$B$3,G$1:R$1,0)-1)*IF(OR(F42="L",F42="S",F42="I"),-1,1),"")</f>
        <v>23357.18</v>
      </c>
      <c r="AM42" s="905">
        <f t="shared" si="2"/>
        <v>3482.9399999999987</v>
      </c>
      <c r="AN42" s="905">
        <f>INDEX(G42:R42,1,MATCH(Parametres!$B$3,G$1:R$1,0))*IF(OR(F42="L",F42="S",F42="I"),-1,1)</f>
        <v>26840.12</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3"/>
        <v>G0243</v>
      </c>
      <c r="AU42" s="488" t="str">
        <f t="shared" si="4"/>
        <v>CONGES PAYES U.S.A</v>
      </c>
      <c r="AV42" s="899">
        <f>IFERROR(INDEX(V42:AG42,1,MATCH(Parametres!$B$3,V$1:AG$1,0)-1)*IF(OR(C42="L",C42="S",C42="I"),-1,1),"")</f>
        <v>0</v>
      </c>
      <c r="AW42" s="899">
        <f t="shared" si="5"/>
        <v>0</v>
      </c>
      <c r="AX42" s="899">
        <f>INDEX(V42:AG42,1,MATCH(Parametres!$B$3,V$1:AG$1,0))*IF(OR(C42="L",C42="S",C42="I"),-1,1)</f>
        <v>0</v>
      </c>
      <c r="AY42" s="487" t="s">
        <v>337</v>
      </c>
      <c r="AZ42" s="487">
        <f>+VLOOKUP($AJ42,Data_Validation!$A:$E,5,0)</f>
        <v>0</v>
      </c>
    </row>
    <row r="43" spans="1:52" ht="15" hidden="1" customHeight="1">
      <c r="A43" s="706" t="s">
        <v>1148</v>
      </c>
      <c r="B43" s="706">
        <v>2025</v>
      </c>
      <c r="C43" s="706" t="s">
        <v>1262</v>
      </c>
      <c r="D43" s="706" t="s">
        <v>1263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G0244</v>
      </c>
      <c r="AK43" s="905" t="str">
        <f t="shared" si="1"/>
        <v>CONGES PAYES SERVICE</v>
      </c>
      <c r="AL43" s="905">
        <f>IFERROR(INDEX(G43:R43,1,MATCH(Parametres!$B$3,G$1:R$1,0)-1)*IF(OR(F43="L",F43="S",F43="I"),-1,1),"")</f>
        <v>143902.31</v>
      </c>
      <c r="AM43" s="905">
        <f t="shared" si="2"/>
        <v>16011.350000000006</v>
      </c>
      <c r="AN43" s="905">
        <f>INDEX(G43:R43,1,MATCH(Parametres!$B$3,G$1:R$1,0))*IF(OR(F43="L",F43="S",F43="I"),-1,1)</f>
        <v>159913.66</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3"/>
        <v>G0244</v>
      </c>
      <c r="AU43" s="488" t="str">
        <f t="shared" si="4"/>
        <v>CONGES PAYES SERVICE</v>
      </c>
      <c r="AV43" s="899">
        <f>IFERROR(INDEX(V43:AG43,1,MATCH(Parametres!$B$3,V$1:AG$1,0)-1)*IF(OR(C43="L",C43="S",C43="I"),-1,1),"")</f>
        <v>0</v>
      </c>
      <c r="AW43" s="899">
        <f t="shared" si="5"/>
        <v>0</v>
      </c>
      <c r="AX43" s="899">
        <f>INDEX(V43:AG43,1,MATCH(Parametres!$B$3,V$1:AG$1,0))*IF(OR(C43="L",C43="S",C43="I"),-1,1)</f>
        <v>0</v>
      </c>
      <c r="AY43" s="487" t="s">
        <v>337</v>
      </c>
      <c r="AZ43" s="487">
        <f>+VLOOKUP($AJ43,Data_Validation!$A:$E,5,0)</f>
        <v>0</v>
      </c>
    </row>
    <row r="44" spans="1:52" ht="15.75" hidden="1" customHeight="1">
      <c r="A44" s="706" t="s">
        <v>1148</v>
      </c>
      <c r="B44" s="706">
        <v>2025</v>
      </c>
      <c r="C44" s="706" t="s">
        <v>1264</v>
      </c>
      <c r="D44" s="706" t="s">
        <v>1265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G0245</v>
      </c>
      <c r="AK44" s="905" t="str">
        <f t="shared" si="1"/>
        <v>CONGES PAYES CARROSS.</v>
      </c>
      <c r="AL44" s="905">
        <f>IFERROR(INDEX(G44:R44,1,MATCH(Parametres!$B$3,G$1:R$1,0)-1)*IF(OR(F44="L",F44="S",F44="I"),-1,1),"")</f>
        <v>30921.54</v>
      </c>
      <c r="AM44" s="905">
        <f t="shared" si="2"/>
        <v>4073.1100000000006</v>
      </c>
      <c r="AN44" s="905">
        <f>INDEX(G44:R44,1,MATCH(Parametres!$B$3,G$1:R$1,0))*IF(OR(F44="L",F44="S",F44="I"),-1,1)</f>
        <v>34994.65</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3"/>
        <v>G0245</v>
      </c>
      <c r="AU44" s="488" t="str">
        <f t="shared" si="4"/>
        <v>CONGES PAYES CARROSS.</v>
      </c>
      <c r="AV44" s="899">
        <f>IFERROR(INDEX(V44:AG44,1,MATCH(Parametres!$B$3,V$1:AG$1,0)-1)*IF(OR(C44="L",C44="S",C44="I"),-1,1),"")</f>
        <v>0</v>
      </c>
      <c r="AW44" s="899">
        <f t="shared" si="5"/>
        <v>0</v>
      </c>
      <c r="AX44" s="899">
        <f>INDEX(V44:AG44,1,MATCH(Parametres!$B$3,V$1:AG$1,0))*IF(OR(C44="L",C44="S",C44="I"),-1,1)</f>
        <v>0</v>
      </c>
      <c r="AY44" s="487" t="s">
        <v>337</v>
      </c>
      <c r="AZ44" s="487">
        <f>+VLOOKUP($AJ44,Data_Validation!$A:$E,5,0)</f>
        <v>0</v>
      </c>
    </row>
    <row r="45" spans="1:52" ht="15" hidden="1" customHeight="1">
      <c r="A45" s="706" t="s">
        <v>1148</v>
      </c>
      <c r="B45" s="706">
        <v>2025</v>
      </c>
      <c r="C45" s="706" t="s">
        <v>1266</v>
      </c>
      <c r="D45" s="706" t="s">
        <v>1267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G0246</v>
      </c>
      <c r="AK45" s="905" t="str">
        <f t="shared" si="1"/>
        <v>CONGES PAYES PIECES</v>
      </c>
      <c r="AL45" s="905">
        <f>IFERROR(INDEX(G45:R45,1,MATCH(Parametres!$B$3,G$1:R$1,0)-1)*IF(OR(F45="L",F45="S",F45="I"),-1,1),"")</f>
        <v>20423.5</v>
      </c>
      <c r="AM45" s="905">
        <f t="shared" si="2"/>
        <v>2218.1500000000015</v>
      </c>
      <c r="AN45" s="905">
        <f>INDEX(G45:R45,1,MATCH(Parametres!$B$3,G$1:R$1,0))*IF(OR(F45="L",F45="S",F45="I"),-1,1)</f>
        <v>22641.65</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3"/>
        <v>G0246</v>
      </c>
      <c r="AU45" s="488" t="str">
        <f t="shared" si="4"/>
        <v>CONGES PAYES PIECES</v>
      </c>
      <c r="AV45" s="899">
        <f>IFERROR(INDEX(V45:AG45,1,MATCH(Parametres!$B$3,V$1:AG$1,0)-1)*IF(OR(C45="L",C45="S",C45="I"),-1,1),"")</f>
        <v>0</v>
      </c>
      <c r="AW45" s="899">
        <f t="shared" si="5"/>
        <v>0</v>
      </c>
      <c r="AX45" s="899">
        <f>INDEX(V45:AG45,1,MATCH(Parametres!$B$3,V$1:AG$1,0))*IF(OR(C45="L",C45="S",C45="I"),-1,1)</f>
        <v>0</v>
      </c>
      <c r="AY45" s="487" t="s">
        <v>337</v>
      </c>
      <c r="AZ45" s="487">
        <f>+VLOOKUP($AJ45,Data_Validation!$A:$E,5,0)</f>
        <v>0</v>
      </c>
    </row>
    <row r="46" spans="1:52" ht="15" customHeight="1">
      <c r="A46" s="706" t="s">
        <v>1148</v>
      </c>
      <c r="B46" s="706">
        <v>2025</v>
      </c>
      <c r="C46" s="706" t="s">
        <v>1270</v>
      </c>
      <c r="D46" s="706" t="s">
        <v>1271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G0250</v>
      </c>
      <c r="AK46" s="905" t="str">
        <f t="shared" si="1"/>
        <v>TAXES PAYES REP.</v>
      </c>
      <c r="AL46" s="905">
        <f>IFERROR(INDEX(G46:R46,1,MATCH(Parametres!$B$3,G$1:R$1,0)-1)*IF(OR(F46="L",F46="S",F46="I"),-1,1),"")</f>
        <v>0</v>
      </c>
      <c r="AM46" s="905">
        <f t="shared" si="2"/>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3"/>
        <v>G0250</v>
      </c>
      <c r="AU46" s="488" t="str">
        <f t="shared" si="4"/>
        <v>TAXES PAYES REP.</v>
      </c>
      <c r="AV46" s="899">
        <f>IFERROR(INDEX(V46:AG46,1,MATCH(Parametres!$B$3,V$1:AG$1,0)-1)*IF(OR(C46="L",C46="S",C46="I"),-1,1),"")</f>
        <v>0</v>
      </c>
      <c r="AW46" s="899">
        <f t="shared" si="5"/>
        <v>0</v>
      </c>
      <c r="AX46" s="899">
        <f>INDEX(V46:AG46,1,MATCH(Parametres!$B$3,V$1:AG$1,0))*IF(OR(C46="L",C46="S",C46="I"),-1,1)</f>
        <v>0</v>
      </c>
      <c r="AY46" s="487" t="s">
        <v>337</v>
      </c>
      <c r="AZ46" s="487" t="e">
        <f>+VLOOKUP($AJ46,Data_Validation!$A:$E,5,0)</f>
        <v>#N/A</v>
      </c>
    </row>
    <row r="47" spans="1:52" ht="15" hidden="1" customHeight="1">
      <c r="A47" s="706" t="s">
        <v>1148</v>
      </c>
      <c r="B47" s="706">
        <v>2025</v>
      </c>
      <c r="C47" s="706" t="s">
        <v>1272</v>
      </c>
      <c r="D47" s="706" t="s">
        <v>1273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G0251</v>
      </c>
      <c r="AK47" s="905" t="str">
        <f t="shared" si="1"/>
        <v>TAXES PAYROLL NEUFS</v>
      </c>
      <c r="AL47" s="905">
        <f>IFERROR(INDEX(G47:R47,1,MATCH(Parametres!$B$3,G$1:R$1,0)-1)*IF(OR(F47="L",F47="S",F47="I"),-1,1),"")</f>
        <v>166766.04999999999</v>
      </c>
      <c r="AM47" s="905">
        <f t="shared" si="2"/>
        <v>13469.270000000019</v>
      </c>
      <c r="AN47" s="905">
        <f>INDEX(G47:R47,1,MATCH(Parametres!$B$3,G$1:R$1,0))*IF(OR(F47="L",F47="S",F47="I"),-1,1)</f>
        <v>180235.32</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3"/>
        <v>G0251</v>
      </c>
      <c r="AU47" s="488" t="str">
        <f t="shared" si="4"/>
        <v>TAXES PAYROLL NEUFS</v>
      </c>
      <c r="AV47" s="899">
        <f>IFERROR(INDEX(V47:AG47,1,MATCH(Parametres!$B$3,V$1:AG$1,0)-1)*IF(OR(C47="L",C47="S",C47="I"),-1,1),"")</f>
        <v>0</v>
      </c>
      <c r="AW47" s="899">
        <f t="shared" si="5"/>
        <v>0</v>
      </c>
      <c r="AX47" s="899">
        <f>INDEX(V47:AG47,1,MATCH(Parametres!$B$3,V$1:AG$1,0))*IF(OR(C47="L",C47="S",C47="I"),-1,1)</f>
        <v>0</v>
      </c>
      <c r="AY47" s="487" t="s">
        <v>337</v>
      </c>
      <c r="AZ47" s="487">
        <f>+VLOOKUP($AJ47,Data_Validation!$A:$E,5,0)</f>
        <v>0</v>
      </c>
    </row>
    <row r="48" spans="1:52" ht="15.75" hidden="1" customHeight="1">
      <c r="A48" s="706" t="s">
        <v>1148</v>
      </c>
      <c r="B48" s="706">
        <v>2025</v>
      </c>
      <c r="C48" s="706" t="s">
        <v>1274</v>
      </c>
      <c r="D48" s="706" t="s">
        <v>1275</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G0252</v>
      </c>
      <c r="AK48" s="905" t="str">
        <f t="shared" si="1"/>
        <v>TAXES PAYROLL USAGES</v>
      </c>
      <c r="AL48" s="905">
        <f>IFERROR(INDEX(G48:R48,1,MATCH(Parametres!$B$3,G$1:R$1,0)-1)*IF(OR(F48="L",F48="S",F48="I"),-1,1),"")</f>
        <v>21607.07</v>
      </c>
      <c r="AM48" s="905">
        <f t="shared" si="2"/>
        <v>3383.5400000000009</v>
      </c>
      <c r="AN48" s="905">
        <f>INDEX(G48:R48,1,MATCH(Parametres!$B$3,G$1:R$1,0))*IF(OR(F48="L",F48="S",F48="I"),-1,1)</f>
        <v>24990.61</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3"/>
        <v>G0252</v>
      </c>
      <c r="AU48" s="488" t="str">
        <f t="shared" si="4"/>
        <v>TAXES PAYROLL USAGES</v>
      </c>
      <c r="AV48" s="899">
        <f>IFERROR(INDEX(V48:AG48,1,MATCH(Parametres!$B$3,V$1:AG$1,0)-1)*IF(OR(C48="L",C48="S",C48="I"),-1,1),"")</f>
        <v>0</v>
      </c>
      <c r="AW48" s="899">
        <f t="shared" si="5"/>
        <v>0</v>
      </c>
      <c r="AX48" s="899">
        <f>INDEX(V48:AG48,1,MATCH(Parametres!$B$3,V$1:AG$1,0))*IF(OR(C48="L",C48="S",C48="I"),-1,1)</f>
        <v>0</v>
      </c>
      <c r="AY48" s="487" t="s">
        <v>337</v>
      </c>
      <c r="AZ48" s="487">
        <f>+VLOOKUP($AJ48,Data_Validation!$A:$E,5,0)</f>
        <v>0</v>
      </c>
    </row>
    <row r="49" spans="1:52" ht="15" hidden="1" customHeight="1">
      <c r="A49" s="706" t="s">
        <v>1148</v>
      </c>
      <c r="B49" s="706">
        <v>2025</v>
      </c>
      <c r="C49" s="706" t="s">
        <v>1276</v>
      </c>
      <c r="D49" s="706" t="s">
        <v>1277</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G0253</v>
      </c>
      <c r="AK49" s="905" t="str">
        <f t="shared" si="1"/>
        <v>TAXES PAYROLL U.S.A</v>
      </c>
      <c r="AL49" s="905">
        <f>IFERROR(INDEX(G49:R49,1,MATCH(Parametres!$B$3,G$1:R$1,0)-1)*IF(OR(F49="L",F49="S",F49="I"),-1,1),"")</f>
        <v>34124.550000000003</v>
      </c>
      <c r="AM49" s="905">
        <f t="shared" si="2"/>
        <v>3595.7999999999956</v>
      </c>
      <c r="AN49" s="905">
        <f>INDEX(G49:R49,1,MATCH(Parametres!$B$3,G$1:R$1,0))*IF(OR(F49="L",F49="S",F49="I"),-1,1)</f>
        <v>37720.35</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3"/>
        <v>G0253</v>
      </c>
      <c r="AU49" s="488" t="str">
        <f t="shared" si="4"/>
        <v>TAXES PAYROLL U.S.A</v>
      </c>
      <c r="AV49" s="899">
        <f>IFERROR(INDEX(V49:AG49,1,MATCH(Parametres!$B$3,V$1:AG$1,0)-1)*IF(OR(C49="L",C49="S",C49="I"),-1,1),"")</f>
        <v>0</v>
      </c>
      <c r="AW49" s="899">
        <f t="shared" si="5"/>
        <v>0</v>
      </c>
      <c r="AX49" s="899">
        <f>INDEX(V49:AG49,1,MATCH(Parametres!$B$3,V$1:AG$1,0))*IF(OR(C49="L",C49="S",C49="I"),-1,1)</f>
        <v>0</v>
      </c>
      <c r="AY49" s="487" t="s">
        <v>337</v>
      </c>
      <c r="AZ49" s="487">
        <f>+VLOOKUP($AJ49,Data_Validation!$A:$E,5,0)</f>
        <v>0</v>
      </c>
    </row>
    <row r="50" spans="1:52" ht="15" hidden="1" customHeight="1">
      <c r="A50" s="706" t="s">
        <v>1148</v>
      </c>
      <c r="B50" s="706">
        <v>2025</v>
      </c>
      <c r="C50" s="706" t="s">
        <v>1278</v>
      </c>
      <c r="D50" s="706" t="s">
        <v>1279</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G0254</v>
      </c>
      <c r="AK50" s="905" t="str">
        <f t="shared" si="1"/>
        <v>TAXES PAYROLL SERVICE</v>
      </c>
      <c r="AL50" s="905">
        <f>IFERROR(INDEX(G50:R50,1,MATCH(Parametres!$B$3,G$1:R$1,0)-1)*IF(OR(F50="L",F50="S",F50="I"),-1,1),"")</f>
        <v>157880.81</v>
      </c>
      <c r="AM50" s="905">
        <f t="shared" si="2"/>
        <v>16190.989999999991</v>
      </c>
      <c r="AN50" s="905">
        <f>INDEX(G50:R50,1,MATCH(Parametres!$B$3,G$1:R$1,0))*IF(OR(F50="L",F50="S",F50="I"),-1,1)</f>
        <v>174071.8</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3"/>
        <v>G0254</v>
      </c>
      <c r="AU50" s="488" t="str">
        <f t="shared" si="4"/>
        <v>TAXES PAYROLL SERVICE</v>
      </c>
      <c r="AV50" s="899">
        <f>IFERROR(INDEX(V50:AG50,1,MATCH(Parametres!$B$3,V$1:AG$1,0)-1)*IF(OR(C50="L",C50="S",C50="I"),-1,1),"")</f>
        <v>0</v>
      </c>
      <c r="AW50" s="899">
        <f t="shared" si="5"/>
        <v>0</v>
      </c>
      <c r="AX50" s="899">
        <f>INDEX(V50:AG50,1,MATCH(Parametres!$B$3,V$1:AG$1,0))*IF(OR(C50="L",C50="S",C50="I"),-1,1)</f>
        <v>0</v>
      </c>
      <c r="AY50" s="487" t="s">
        <v>337</v>
      </c>
      <c r="AZ50" s="487">
        <f>+VLOOKUP($AJ50,Data_Validation!$A:$E,5,0)</f>
        <v>0</v>
      </c>
    </row>
    <row r="51" spans="1:52" ht="15" hidden="1" customHeight="1">
      <c r="A51" s="706" t="s">
        <v>1148</v>
      </c>
      <c r="B51" s="706">
        <v>2025</v>
      </c>
      <c r="C51" s="706" t="s">
        <v>1280</v>
      </c>
      <c r="D51" s="706" t="s">
        <v>1281</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G0255</v>
      </c>
      <c r="AK51" s="905" t="str">
        <f t="shared" si="1"/>
        <v>TAXES PAYROLL CARROSS.</v>
      </c>
      <c r="AL51" s="905">
        <f>IFERROR(INDEX(G51:R51,1,MATCH(Parametres!$B$3,G$1:R$1,0)-1)*IF(OR(F51="L",F51="S",F51="I"),-1,1),"")</f>
        <v>39203.980000000003</v>
      </c>
      <c r="AM51" s="905">
        <f t="shared" si="2"/>
        <v>4788.6399999999994</v>
      </c>
      <c r="AN51" s="905">
        <f>INDEX(G51:R51,1,MATCH(Parametres!$B$3,G$1:R$1,0))*IF(OR(F51="L",F51="S",F51="I"),-1,1)</f>
        <v>43992.62</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3"/>
        <v>G0255</v>
      </c>
      <c r="AU51" s="488" t="str">
        <f t="shared" si="4"/>
        <v>TAXES PAYROLL CARROSS.</v>
      </c>
      <c r="AV51" s="899">
        <f>IFERROR(INDEX(V51:AG51,1,MATCH(Parametres!$B$3,V$1:AG$1,0)-1)*IF(OR(C51="L",C51="S",C51="I"),-1,1),"")</f>
        <v>0</v>
      </c>
      <c r="AW51" s="899">
        <f t="shared" si="5"/>
        <v>0</v>
      </c>
      <c r="AX51" s="899">
        <f>INDEX(V51:AG51,1,MATCH(Parametres!$B$3,V$1:AG$1,0))*IF(OR(C51="L",C51="S",C51="I"),-1,1)</f>
        <v>0</v>
      </c>
      <c r="AY51" s="487" t="s">
        <v>337</v>
      </c>
      <c r="AZ51" s="487">
        <f>+VLOOKUP($AJ51,Data_Validation!$A:$E,5,0)</f>
        <v>0</v>
      </c>
    </row>
    <row r="52" spans="1:52" ht="15.75" hidden="1" customHeight="1">
      <c r="A52" s="706" t="s">
        <v>1148</v>
      </c>
      <c r="B52" s="706">
        <v>2025</v>
      </c>
      <c r="C52" s="706" t="s">
        <v>1282</v>
      </c>
      <c r="D52" s="706" t="s">
        <v>1283</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G0256</v>
      </c>
      <c r="AK52" s="905" t="str">
        <f t="shared" si="1"/>
        <v>TAXES PAYROLL PIECES</v>
      </c>
      <c r="AL52" s="905">
        <f>IFERROR(INDEX(G52:R52,1,MATCH(Parametres!$B$3,G$1:R$1,0)-1)*IF(OR(F52="L",F52="S",F52="I"),-1,1),"")</f>
        <v>27638.27</v>
      </c>
      <c r="AM52" s="905">
        <f t="shared" si="2"/>
        <v>2592</v>
      </c>
      <c r="AN52" s="905">
        <f>INDEX(G52:R52,1,MATCH(Parametres!$B$3,G$1:R$1,0))*IF(OR(F52="L",F52="S",F52="I"),-1,1)</f>
        <v>30230.27</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3"/>
        <v>G0256</v>
      </c>
      <c r="AU52" s="488" t="str">
        <f t="shared" si="4"/>
        <v>TAXES PAYROLL PIECES</v>
      </c>
      <c r="AV52" s="899">
        <f>IFERROR(INDEX(V52:AG52,1,MATCH(Parametres!$B$3,V$1:AG$1,0)-1)*IF(OR(C52="L",C52="S",C52="I"),-1,1),"")</f>
        <v>0</v>
      </c>
      <c r="AW52" s="899">
        <f t="shared" si="5"/>
        <v>0</v>
      </c>
      <c r="AX52" s="899">
        <f>INDEX(V52:AG52,1,MATCH(Parametres!$B$3,V$1:AG$1,0))*IF(OR(C52="L",C52="S",C52="I"),-1,1)</f>
        <v>0</v>
      </c>
      <c r="AY52" s="487" t="s">
        <v>337</v>
      </c>
      <c r="AZ52" s="487">
        <f>+VLOOKUP($AJ52,Data_Validation!$A:$E,5,0)</f>
        <v>0</v>
      </c>
    </row>
    <row r="53" spans="1:52" ht="15" customHeight="1">
      <c r="A53" s="706" t="s">
        <v>1148</v>
      </c>
      <c r="B53" s="706">
        <v>2025</v>
      </c>
      <c r="C53" s="706" t="s">
        <v>1286</v>
      </c>
      <c r="D53" s="706" t="s">
        <v>1287</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G0270</v>
      </c>
      <c r="AK53" s="905" t="str">
        <f t="shared" si="1"/>
        <v>AVANTAG.SOCIAUX REP.</v>
      </c>
      <c r="AL53" s="905">
        <f>IFERROR(INDEX(G53:R53,1,MATCH(Parametres!$B$3,G$1:R$1,0)-1)*IF(OR(F53="L",F53="S",F53="I"),-1,1),"")</f>
        <v>0</v>
      </c>
      <c r="AM53" s="905">
        <f t="shared" si="2"/>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3"/>
        <v>G0270</v>
      </c>
      <c r="AU53" s="488" t="str">
        <f t="shared" si="4"/>
        <v>AVANTAG.SOCIAUX REP.</v>
      </c>
      <c r="AV53" s="899">
        <f>IFERROR(INDEX(V53:AG53,1,MATCH(Parametres!$B$3,V$1:AG$1,0)-1)*IF(OR(C53="L",C53="S",C53="I"),-1,1),"")</f>
        <v>0</v>
      </c>
      <c r="AW53" s="899">
        <f t="shared" si="5"/>
        <v>0</v>
      </c>
      <c r="AX53" s="899">
        <f>INDEX(V53:AG53,1,MATCH(Parametres!$B$3,V$1:AG$1,0))*IF(OR(C53="L",C53="S",C53="I"),-1,1)</f>
        <v>0</v>
      </c>
      <c r="AY53" s="487" t="s">
        <v>337</v>
      </c>
      <c r="AZ53" s="487" t="e">
        <f>+VLOOKUP($AJ53,Data_Validation!$A:$E,5,0)</f>
        <v>#N/A</v>
      </c>
    </row>
    <row r="54" spans="1:52" ht="15" hidden="1" customHeight="1">
      <c r="A54" s="706" t="s">
        <v>1148</v>
      </c>
      <c r="B54" s="706">
        <v>2025</v>
      </c>
      <c r="C54" s="706" t="s">
        <v>1288</v>
      </c>
      <c r="D54" s="706" t="s">
        <v>1289</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G0271</v>
      </c>
      <c r="AK54" s="905" t="str">
        <f t="shared" si="1"/>
        <v>AVANTAGES SOCIAUX NEUF</v>
      </c>
      <c r="AL54" s="905">
        <f>IFERROR(INDEX(G54:R54,1,MATCH(Parametres!$B$3,G$1:R$1,0)-1)*IF(OR(F54="L",F54="S",F54="I"),-1,1),"")</f>
        <v>45602.89</v>
      </c>
      <c r="AM54" s="905">
        <f t="shared" si="2"/>
        <v>749.43000000000029</v>
      </c>
      <c r="AN54" s="905">
        <f>INDEX(G54:R54,1,MATCH(Parametres!$B$3,G$1:R$1,0))*IF(OR(F54="L",F54="S",F54="I"),-1,1)</f>
        <v>46352.32</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3"/>
        <v>G0271</v>
      </c>
      <c r="AU54" s="488" t="str">
        <f t="shared" si="4"/>
        <v>AVANTAGES SOCIAUX NEUF</v>
      </c>
      <c r="AV54" s="899">
        <f>IFERROR(INDEX(V54:AG54,1,MATCH(Parametres!$B$3,V$1:AG$1,0)-1)*IF(OR(C54="L",C54="S",C54="I"),-1,1),"")</f>
        <v>0</v>
      </c>
      <c r="AW54" s="899">
        <f t="shared" si="5"/>
        <v>0</v>
      </c>
      <c r="AX54" s="899">
        <f>INDEX(V54:AG54,1,MATCH(Parametres!$B$3,V$1:AG$1,0))*IF(OR(C54="L",C54="S",C54="I"),-1,1)</f>
        <v>0</v>
      </c>
      <c r="AY54" s="487" t="s">
        <v>337</v>
      </c>
      <c r="AZ54" s="487">
        <f>+VLOOKUP($AJ54,Data_Validation!$A:$E,5,0)</f>
        <v>0</v>
      </c>
    </row>
    <row r="55" spans="1:52" ht="15" hidden="1" customHeight="1">
      <c r="A55" s="706" t="s">
        <v>1148</v>
      </c>
      <c r="B55" s="706">
        <v>2025</v>
      </c>
      <c r="C55" s="706" t="s">
        <v>1290</v>
      </c>
      <c r="D55" s="706" t="s">
        <v>1291</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G0272</v>
      </c>
      <c r="AK55" s="905" t="str">
        <f t="shared" si="1"/>
        <v>AVANTAGES SOCIAUX USAG</v>
      </c>
      <c r="AL55" s="905">
        <f>IFERROR(INDEX(G55:R55,1,MATCH(Parametres!$B$3,G$1:R$1,0)-1)*IF(OR(F55="L",F55="S",F55="I"),-1,1),"")</f>
        <v>21863.45</v>
      </c>
      <c r="AM55" s="905">
        <f t="shared" si="2"/>
        <v>643.27999999999884</v>
      </c>
      <c r="AN55" s="905">
        <f>INDEX(G55:R55,1,MATCH(Parametres!$B$3,G$1:R$1,0))*IF(OR(F55="L",F55="S",F55="I"),-1,1)</f>
        <v>22506.73</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3"/>
        <v>G0272</v>
      </c>
      <c r="AU55" s="488" t="str">
        <f t="shared" si="4"/>
        <v>AVANTAGES SOCIAUX USAG</v>
      </c>
      <c r="AV55" s="899">
        <f>IFERROR(INDEX(V55:AG55,1,MATCH(Parametres!$B$3,V$1:AG$1,0)-1)*IF(OR(C55="L",C55="S",C55="I"),-1,1),"")</f>
        <v>0</v>
      </c>
      <c r="AW55" s="899">
        <f t="shared" si="5"/>
        <v>0</v>
      </c>
      <c r="AX55" s="899">
        <f>INDEX(V55:AG55,1,MATCH(Parametres!$B$3,V$1:AG$1,0))*IF(OR(C55="L",C55="S",C55="I"),-1,1)</f>
        <v>0</v>
      </c>
      <c r="AY55" s="487" t="s">
        <v>337</v>
      </c>
      <c r="AZ55" s="487">
        <f>+VLOOKUP($AJ55,Data_Validation!$A:$E,5,0)</f>
        <v>0</v>
      </c>
    </row>
    <row r="56" spans="1:52" ht="15.75" hidden="1" customHeight="1">
      <c r="A56" s="706" t="s">
        <v>1148</v>
      </c>
      <c r="B56" s="706">
        <v>2025</v>
      </c>
      <c r="C56" s="706" t="s">
        <v>1292</v>
      </c>
      <c r="D56" s="706" t="s">
        <v>1293</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G0273</v>
      </c>
      <c r="AK56" s="905" t="str">
        <f t="shared" si="1"/>
        <v>AVANTAGES SOCIAUX U.S.A</v>
      </c>
      <c r="AL56" s="905">
        <f>IFERROR(INDEX(G56:R56,1,MATCH(Parametres!$B$3,G$1:R$1,0)-1)*IF(OR(F56="L",F56="S",F56="I"),-1,1),"")</f>
        <v>15841.94</v>
      </c>
      <c r="AM56" s="905">
        <f t="shared" si="2"/>
        <v>324.60999999999876</v>
      </c>
      <c r="AN56" s="905">
        <f>INDEX(G56:R56,1,MATCH(Parametres!$B$3,G$1:R$1,0))*IF(OR(F56="L",F56="S",F56="I"),-1,1)</f>
        <v>16166.55</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3"/>
        <v>G0273</v>
      </c>
      <c r="AU56" s="488" t="str">
        <f t="shared" si="4"/>
        <v>AVANTAGES SOCIAUX U.S.A</v>
      </c>
      <c r="AV56" s="899">
        <f>IFERROR(INDEX(V56:AG56,1,MATCH(Parametres!$B$3,V$1:AG$1,0)-1)*IF(OR(C56="L",C56="S",C56="I"),-1,1),"")</f>
        <v>0</v>
      </c>
      <c r="AW56" s="899">
        <f t="shared" si="5"/>
        <v>0</v>
      </c>
      <c r="AX56" s="899">
        <f>INDEX(V56:AG56,1,MATCH(Parametres!$B$3,V$1:AG$1,0))*IF(OR(C56="L",C56="S",C56="I"),-1,1)</f>
        <v>0</v>
      </c>
      <c r="AY56" s="487" t="s">
        <v>337</v>
      </c>
      <c r="AZ56" s="487">
        <f>+VLOOKUP($AJ56,Data_Validation!$A:$E,5,0)</f>
        <v>0</v>
      </c>
    </row>
    <row r="57" spans="1:52" ht="15" hidden="1" customHeight="1">
      <c r="A57" s="706" t="s">
        <v>1148</v>
      </c>
      <c r="B57" s="706">
        <v>2025</v>
      </c>
      <c r="C57" s="706" t="s">
        <v>1294</v>
      </c>
      <c r="D57" s="706" t="s">
        <v>1295</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G0274</v>
      </c>
      <c r="AK57" s="905" t="str">
        <f t="shared" si="1"/>
        <v>AVANTAGES SOCIAUX SERV</v>
      </c>
      <c r="AL57" s="905">
        <f>IFERROR(INDEX(G57:R57,1,MATCH(Parametres!$B$3,G$1:R$1,0)-1)*IF(OR(F57="L",F57="S",F57="I"),-1,1),"")</f>
        <v>94032.66</v>
      </c>
      <c r="AM57" s="905">
        <f t="shared" si="2"/>
        <v>10006.550000000003</v>
      </c>
      <c r="AN57" s="905">
        <f>INDEX(G57:R57,1,MATCH(Parametres!$B$3,G$1:R$1,0))*IF(OR(F57="L",F57="S",F57="I"),-1,1)</f>
        <v>104039.21</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3"/>
        <v>G0274</v>
      </c>
      <c r="AU57" s="488" t="str">
        <f t="shared" si="4"/>
        <v>AVANTAGES SOCIAUX SERV</v>
      </c>
      <c r="AV57" s="899">
        <f>IFERROR(INDEX(V57:AG57,1,MATCH(Parametres!$B$3,V$1:AG$1,0)-1)*IF(OR(C57="L",C57="S",C57="I"),-1,1),"")</f>
        <v>0</v>
      </c>
      <c r="AW57" s="899">
        <f t="shared" si="5"/>
        <v>0</v>
      </c>
      <c r="AX57" s="899">
        <f>INDEX(V57:AG57,1,MATCH(Parametres!$B$3,V$1:AG$1,0))*IF(OR(C57="L",C57="S",C57="I"),-1,1)</f>
        <v>0</v>
      </c>
      <c r="AY57" s="487" t="s">
        <v>337</v>
      </c>
      <c r="AZ57" s="487">
        <f>+VLOOKUP($AJ57,Data_Validation!$A:$E,5,0)</f>
        <v>0</v>
      </c>
    </row>
    <row r="58" spans="1:52" ht="15" hidden="1" customHeight="1">
      <c r="A58" s="706" t="s">
        <v>1148</v>
      </c>
      <c r="B58" s="706">
        <v>2025</v>
      </c>
      <c r="C58" s="706" t="s">
        <v>1296</v>
      </c>
      <c r="D58" s="706" t="s">
        <v>1297</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G0275</v>
      </c>
      <c r="AK58" s="905" t="str">
        <f t="shared" si="1"/>
        <v>AVANTAGES SOCIAUX CARROSS</v>
      </c>
      <c r="AL58" s="905">
        <f>IFERROR(INDEX(G58:R58,1,MATCH(Parametres!$B$3,G$1:R$1,0)-1)*IF(OR(F58="L",F58="S",F58="I"),-1,1),"")</f>
        <v>23810.55</v>
      </c>
      <c r="AM58" s="905">
        <f t="shared" si="2"/>
        <v>1961.880000000001</v>
      </c>
      <c r="AN58" s="905">
        <f>INDEX(G58:R58,1,MATCH(Parametres!$B$3,G$1:R$1,0))*IF(OR(F58="L",F58="S",F58="I"),-1,1)</f>
        <v>25772.43</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3"/>
        <v>G0275</v>
      </c>
      <c r="AU58" s="488" t="str">
        <f t="shared" si="4"/>
        <v>AVANTAGES SOCIAUX CARROSS</v>
      </c>
      <c r="AV58" s="899">
        <f>IFERROR(INDEX(V58:AG58,1,MATCH(Parametres!$B$3,V$1:AG$1,0)-1)*IF(OR(C58="L",C58="S",C58="I"),-1,1),"")</f>
        <v>0</v>
      </c>
      <c r="AW58" s="899">
        <f t="shared" si="5"/>
        <v>0</v>
      </c>
      <c r="AX58" s="899">
        <f>INDEX(V58:AG58,1,MATCH(Parametres!$B$3,V$1:AG$1,0))*IF(OR(C58="L",C58="S",C58="I"),-1,1)</f>
        <v>0</v>
      </c>
      <c r="AY58" s="487" t="s">
        <v>337</v>
      </c>
      <c r="AZ58" s="487">
        <f>+VLOOKUP($AJ58,Data_Validation!$A:$E,5,0)</f>
        <v>0</v>
      </c>
    </row>
    <row r="59" spans="1:52" ht="15" hidden="1" customHeight="1">
      <c r="A59" s="706" t="s">
        <v>1148</v>
      </c>
      <c r="B59" s="706">
        <v>2025</v>
      </c>
      <c r="C59" s="706" t="s">
        <v>1298</v>
      </c>
      <c r="D59" s="706" t="s">
        <v>1299</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G0276</v>
      </c>
      <c r="AK59" s="905" t="str">
        <f t="shared" si="1"/>
        <v>AVANTAGES SOCIAUX PCES</v>
      </c>
      <c r="AL59" s="905">
        <f>IFERROR(INDEX(G59:R59,1,MATCH(Parametres!$B$3,G$1:R$1,0)-1)*IF(OR(F59="L",F59="S",F59="I"),-1,1),"")</f>
        <v>13255.36</v>
      </c>
      <c r="AM59" s="905">
        <f t="shared" si="2"/>
        <v>191.03999999999905</v>
      </c>
      <c r="AN59" s="905">
        <f>INDEX(G59:R59,1,MATCH(Parametres!$B$3,G$1:R$1,0))*IF(OR(F59="L",F59="S",F59="I"),-1,1)</f>
        <v>13446.4</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3"/>
        <v>G0276</v>
      </c>
      <c r="AU59" s="488" t="str">
        <f t="shared" si="4"/>
        <v>AVANTAGES SOCIAUX PCES</v>
      </c>
      <c r="AV59" s="899">
        <f>IFERROR(INDEX(V59:AG59,1,MATCH(Parametres!$B$3,V$1:AG$1,0)-1)*IF(OR(C59="L",C59="S",C59="I"),-1,1),"")</f>
        <v>0</v>
      </c>
      <c r="AW59" s="899">
        <f t="shared" si="5"/>
        <v>0</v>
      </c>
      <c r="AX59" s="899">
        <f>INDEX(V59:AG59,1,MATCH(Parametres!$B$3,V$1:AG$1,0))*IF(OR(C59="L",C59="S",C59="I"),-1,1)</f>
        <v>0</v>
      </c>
      <c r="AY59" s="487" t="s">
        <v>337</v>
      </c>
      <c r="AZ59" s="487">
        <f>+VLOOKUP($AJ59,Data_Validation!$A:$E,5,0)</f>
        <v>0</v>
      </c>
    </row>
    <row r="60" spans="1:52" ht="15" customHeight="1">
      <c r="A60" s="706" t="s">
        <v>1148</v>
      </c>
      <c r="B60" s="706">
        <v>2025</v>
      </c>
      <c r="C60" s="706" t="s">
        <v>1302</v>
      </c>
      <c r="D60" s="706" t="s">
        <v>1303</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G0279</v>
      </c>
      <c r="AK60" s="905" t="str">
        <f t="shared" si="1"/>
        <v>AVANTAGES SOCIAUX ADM.</v>
      </c>
      <c r="AL60" s="905">
        <f>IFERROR(INDEX(G60:R60,1,MATCH(Parametres!$B$3,G$1:R$1,0)-1)*IF(OR(F60="L",F60="S",F60="I"),-1,1),"")</f>
        <v>0</v>
      </c>
      <c r="AM60" s="905">
        <f t="shared" si="2"/>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G0279</v>
      </c>
      <c r="AU60" s="488" t="str">
        <f t="shared" si="4"/>
        <v>AVANTAGES SOCIAUX ADM.</v>
      </c>
      <c r="AV60" s="899">
        <f>IFERROR(INDEX(V60:AG60,1,MATCH(Parametres!$B$3,V$1:AG$1,0)-1)*IF(OR(C60="L",C60="S",C60="I"),-1,1),"")</f>
        <v>0</v>
      </c>
      <c r="AW60" s="899">
        <f t="shared" si="5"/>
        <v>0</v>
      </c>
      <c r="AX60" s="899">
        <f>INDEX(V60:AG60,1,MATCH(Parametres!$B$3,V$1:AG$1,0))*IF(OR(C60="L",C60="S",C60="I"),-1,1)</f>
        <v>0</v>
      </c>
      <c r="AY60" s="487" t="s">
        <v>337</v>
      </c>
      <c r="AZ60" s="487" t="e">
        <f>+VLOOKUP($AJ60,Data_Validation!$A:$E,5,0)</f>
        <v>#N/A</v>
      </c>
    </row>
    <row r="61" spans="1:52" ht="15" customHeight="1">
      <c r="A61" s="706" t="s">
        <v>1148</v>
      </c>
      <c r="B61" s="706">
        <v>2025</v>
      </c>
      <c r="C61" s="706" t="s">
        <v>1304</v>
      </c>
      <c r="D61" s="706" t="s">
        <v>1305</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G0290</v>
      </c>
      <c r="AK61" s="905" t="str">
        <f t="shared" si="1"/>
        <v>FONDS PENSION REP.</v>
      </c>
      <c r="AL61" s="905">
        <f>IFERROR(INDEX(G61:R61,1,MATCH(Parametres!$B$3,G$1:R$1,0)-1)*IF(OR(F61="L",F61="S",F61="I"),-1,1),"")</f>
        <v>0</v>
      </c>
      <c r="AM61" s="905">
        <f t="shared" si="2"/>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3"/>
        <v>G0290</v>
      </c>
      <c r="AU61" s="488" t="str">
        <f t="shared" si="4"/>
        <v>FONDS PENSION REP.</v>
      </c>
      <c r="AV61" s="899">
        <f>IFERROR(INDEX(V61:AG61,1,MATCH(Parametres!$B$3,V$1:AG$1,0)-1)*IF(OR(C61="L",C61="S",C61="I"),-1,1),"")</f>
        <v>0</v>
      </c>
      <c r="AW61" s="899">
        <f t="shared" si="5"/>
        <v>0</v>
      </c>
      <c r="AX61" s="899">
        <f>INDEX(V61:AG61,1,MATCH(Parametres!$B$3,V$1:AG$1,0))*IF(OR(C61="L",C61="S",C61="I"),-1,1)</f>
        <v>0</v>
      </c>
      <c r="AY61" s="487" t="s">
        <v>337</v>
      </c>
      <c r="AZ61" s="487" t="e">
        <f>+VLOOKUP($AJ61,Data_Validation!$A:$E,5,0)</f>
        <v>#N/A</v>
      </c>
    </row>
    <row r="62" spans="1:52" ht="15" hidden="1" customHeight="1">
      <c r="A62" s="706" t="s">
        <v>1148</v>
      </c>
      <c r="B62" s="706">
        <v>2025</v>
      </c>
      <c r="C62" s="706" t="s">
        <v>1306</v>
      </c>
      <c r="D62" s="706" t="s">
        <v>1307</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G0291</v>
      </c>
      <c r="AK62" s="905" t="str">
        <f t="shared" si="1"/>
        <v>FONDS PENSION VEH. NEUFS</v>
      </c>
      <c r="AL62" s="905">
        <f>IFERROR(INDEX(G62:R62,1,MATCH(Parametres!$B$3,G$1:R$1,0)-1)*IF(OR(F62="L",F62="S",F62="I"),-1,1),"")</f>
        <v>799.78</v>
      </c>
      <c r="AM62" s="905">
        <f t="shared" si="2"/>
        <v>7.5199999999999818</v>
      </c>
      <c r="AN62" s="905">
        <f>INDEX(G62:R62,1,MATCH(Parametres!$B$3,G$1:R$1,0))*IF(OR(F62="L",F62="S",F62="I"),-1,1)</f>
        <v>807.3</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3"/>
        <v>G0291</v>
      </c>
      <c r="AU62" s="488" t="str">
        <f t="shared" si="4"/>
        <v>FONDS PENSION VEH. NEUFS</v>
      </c>
      <c r="AV62" s="899">
        <f>IFERROR(INDEX(V62:AG62,1,MATCH(Parametres!$B$3,V$1:AG$1,0)-1)*IF(OR(C62="L",C62="S",C62="I"),-1,1),"")</f>
        <v>0</v>
      </c>
      <c r="AW62" s="899">
        <f t="shared" si="5"/>
        <v>0</v>
      </c>
      <c r="AX62" s="899">
        <f>INDEX(V62:AG62,1,MATCH(Parametres!$B$3,V$1:AG$1,0))*IF(OR(C62="L",C62="S",C62="I"),-1,1)</f>
        <v>0</v>
      </c>
      <c r="AY62" s="487" t="s">
        <v>337</v>
      </c>
      <c r="AZ62" s="487">
        <f>+VLOOKUP($AJ62,Data_Validation!$A:$E,5,0)</f>
        <v>0</v>
      </c>
    </row>
    <row r="63" spans="1:52" ht="15" hidden="1" customHeight="1">
      <c r="A63" s="706" t="s">
        <v>1148</v>
      </c>
      <c r="B63" s="706">
        <v>2025</v>
      </c>
      <c r="C63" s="706" t="s">
        <v>1308</v>
      </c>
      <c r="D63" s="706" t="s">
        <v>1309</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G0292</v>
      </c>
      <c r="AK63" s="905" t="str">
        <f t="shared" si="1"/>
        <v>FONDS PENSION VEH. USAG.</v>
      </c>
      <c r="AL63" s="905">
        <f>IFERROR(INDEX(G63:R63,1,MATCH(Parametres!$B$3,G$1:R$1,0)-1)*IF(OR(F63="L",F63="S",F63="I"),-1,1),"")</f>
        <v>224.85</v>
      </c>
      <c r="AM63" s="905">
        <f t="shared" si="2"/>
        <v>30.069999999999993</v>
      </c>
      <c r="AN63" s="905">
        <f>INDEX(G63:R63,1,MATCH(Parametres!$B$3,G$1:R$1,0))*IF(OR(F63="L",F63="S",F63="I"),-1,1)</f>
        <v>254.92</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3"/>
        <v>G0292</v>
      </c>
      <c r="AU63" s="488" t="str">
        <f t="shared" si="4"/>
        <v>FONDS PENSION VEH. USAG.</v>
      </c>
      <c r="AV63" s="899">
        <f>IFERROR(INDEX(V63:AG63,1,MATCH(Parametres!$B$3,V$1:AG$1,0)-1)*IF(OR(C63="L",C63="S",C63="I"),-1,1),"")</f>
        <v>0</v>
      </c>
      <c r="AW63" s="899">
        <f t="shared" si="5"/>
        <v>0</v>
      </c>
      <c r="AX63" s="899">
        <f>INDEX(V63:AG63,1,MATCH(Parametres!$B$3,V$1:AG$1,0))*IF(OR(C63="L",C63="S",C63="I"),-1,1)</f>
        <v>0</v>
      </c>
      <c r="AY63" s="487" t="s">
        <v>337</v>
      </c>
      <c r="AZ63" s="487">
        <f>+VLOOKUP($AJ63,Data_Validation!$A:$E,5,0)</f>
        <v>0</v>
      </c>
    </row>
    <row r="64" spans="1:52" ht="15" hidden="1" customHeight="1">
      <c r="A64" s="706" t="s">
        <v>1148</v>
      </c>
      <c r="B64" s="706">
        <v>2025</v>
      </c>
      <c r="C64" s="706" t="s">
        <v>1310</v>
      </c>
      <c r="D64" s="706" t="s">
        <v>1311</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G0293</v>
      </c>
      <c r="AK64" s="905" t="str">
        <f t="shared" si="1"/>
        <v>FONDS PENSION U.S.A</v>
      </c>
      <c r="AL64" s="905">
        <f>IFERROR(INDEX(G64:R64,1,MATCH(Parametres!$B$3,G$1:R$1,0)-1)*IF(OR(F64="L",F64="S",F64="I"),-1,1),"")</f>
        <v>0</v>
      </c>
      <c r="AM64" s="905">
        <f t="shared" si="2"/>
        <v>0</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3"/>
        <v>G0293</v>
      </c>
      <c r="AU64" s="488" t="str">
        <f t="shared" si="4"/>
        <v>FONDS PENSION U.S.A</v>
      </c>
      <c r="AV64" s="899">
        <f>IFERROR(INDEX(V64:AG64,1,MATCH(Parametres!$B$3,V$1:AG$1,0)-1)*IF(OR(C64="L",C64="S",C64="I"),-1,1),"")</f>
        <v>0</v>
      </c>
      <c r="AW64" s="899">
        <f t="shared" si="5"/>
        <v>0</v>
      </c>
      <c r="AX64" s="899">
        <f>INDEX(V64:AG64,1,MATCH(Parametres!$B$3,V$1:AG$1,0))*IF(OR(C64="L",C64="S",C64="I"),-1,1)</f>
        <v>0</v>
      </c>
      <c r="AY64" s="487" t="s">
        <v>337</v>
      </c>
      <c r="AZ64" s="487">
        <f>+VLOOKUP($AJ64,Data_Validation!$A:$E,5,0)</f>
        <v>0</v>
      </c>
    </row>
    <row r="65" spans="1:52" ht="15" hidden="1" customHeight="1">
      <c r="A65" s="706" t="s">
        <v>1148</v>
      </c>
      <c r="B65" s="706">
        <v>2025</v>
      </c>
      <c r="C65" s="706" t="s">
        <v>1312</v>
      </c>
      <c r="D65" s="706" t="s">
        <v>1313</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G0294</v>
      </c>
      <c r="AK65" s="905" t="str">
        <f t="shared" si="1"/>
        <v>FONDS PENSION SERV AUTO</v>
      </c>
      <c r="AL65" s="905">
        <f>IFERROR(INDEX(G65:R65,1,MATCH(Parametres!$B$3,G$1:R$1,0)-1)*IF(OR(F65="L",F65="S",F65="I"),-1,1),"")</f>
        <v>9111.8799999999992</v>
      </c>
      <c r="AM65" s="905">
        <f t="shared" si="2"/>
        <v>931.42000000000007</v>
      </c>
      <c r="AN65" s="905">
        <f>INDEX(G65:R65,1,MATCH(Parametres!$B$3,G$1:R$1,0))*IF(OR(F65="L",F65="S",F65="I"),-1,1)</f>
        <v>10043.299999999999</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3"/>
        <v>G0294</v>
      </c>
      <c r="AU65" s="488" t="str">
        <f t="shared" si="4"/>
        <v>FONDS PENSION SERV AUTO</v>
      </c>
      <c r="AV65" s="899">
        <f>IFERROR(INDEX(V65:AG65,1,MATCH(Parametres!$B$3,V$1:AG$1,0)-1)*IF(OR(C65="L",C65="S",C65="I"),-1,1),"")</f>
        <v>0</v>
      </c>
      <c r="AW65" s="899">
        <f t="shared" si="5"/>
        <v>0</v>
      </c>
      <c r="AX65" s="899">
        <f>INDEX(V65:AG65,1,MATCH(Parametres!$B$3,V$1:AG$1,0))*IF(OR(C65="L",C65="S",C65="I"),-1,1)</f>
        <v>0</v>
      </c>
      <c r="AY65" s="487" t="s">
        <v>337</v>
      </c>
      <c r="AZ65" s="487">
        <f>+VLOOKUP($AJ65,Data_Validation!$A:$E,5,0)</f>
        <v>0</v>
      </c>
    </row>
    <row r="66" spans="1:52" ht="15" hidden="1" customHeight="1">
      <c r="A66" s="706" t="s">
        <v>1148</v>
      </c>
      <c r="B66" s="706">
        <v>2025</v>
      </c>
      <c r="C66" s="706" t="s">
        <v>1314</v>
      </c>
      <c r="D66" s="706" t="s">
        <v>1315</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G0295</v>
      </c>
      <c r="AK66" s="905" t="str">
        <f t="shared" si="1"/>
        <v>FONDS PENSION CARROSSERIE</v>
      </c>
      <c r="AL66" s="905">
        <f>IFERROR(INDEX(G66:R66,1,MATCH(Parametres!$B$3,G$1:R$1,0)-1)*IF(OR(F66="L",F66="S",F66="I"),-1,1),"")</f>
        <v>340.94</v>
      </c>
      <c r="AM66" s="905">
        <f t="shared" si="2"/>
        <v>46.53000000000003</v>
      </c>
      <c r="AN66" s="905">
        <f>INDEX(G66:R66,1,MATCH(Parametres!$B$3,G$1:R$1,0))*IF(OR(F66="L",F66="S",F66="I"),-1,1)</f>
        <v>387.47</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3"/>
        <v>G0295</v>
      </c>
      <c r="AU66" s="488" t="str">
        <f t="shared" si="4"/>
        <v>FONDS PENSION CARROSSERIE</v>
      </c>
      <c r="AV66" s="899">
        <f>IFERROR(INDEX(V66:AG66,1,MATCH(Parametres!$B$3,V$1:AG$1,0)-1)*IF(OR(C66="L",C66="S",C66="I"),-1,1),"")</f>
        <v>0</v>
      </c>
      <c r="AW66" s="899">
        <f t="shared" si="5"/>
        <v>0</v>
      </c>
      <c r="AX66" s="899">
        <f>INDEX(V66:AG66,1,MATCH(Parametres!$B$3,V$1:AG$1,0))*IF(OR(C66="L",C66="S",C66="I"),-1,1)</f>
        <v>0</v>
      </c>
      <c r="AY66" s="487" t="s">
        <v>337</v>
      </c>
      <c r="AZ66" s="487">
        <f>+VLOOKUP($AJ66,Data_Validation!$A:$E,5,0)</f>
        <v>0</v>
      </c>
    </row>
    <row r="67" spans="1:52" ht="15" hidden="1" customHeight="1">
      <c r="A67" s="706" t="s">
        <v>1148</v>
      </c>
      <c r="B67" s="706">
        <v>2025</v>
      </c>
      <c r="C67" s="706" t="s">
        <v>1316</v>
      </c>
      <c r="D67" s="706" t="s">
        <v>1317</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G0296</v>
      </c>
      <c r="AK67" s="905" t="str">
        <f t="shared" si="1"/>
        <v>FONDS PENSION PCE AUTO</v>
      </c>
      <c r="AL67" s="905">
        <f>IFERROR(INDEX(G67:R67,1,MATCH(Parametres!$B$3,G$1:R$1,0)-1)*IF(OR(F67="L",F67="S",F67="I"),-1,1),"")</f>
        <v>1849.29</v>
      </c>
      <c r="AM67" s="905">
        <f t="shared" si="2"/>
        <v>88.049999999999955</v>
      </c>
      <c r="AN67" s="905">
        <f>INDEX(G67:R67,1,MATCH(Parametres!$B$3,G$1:R$1,0))*IF(OR(F67="L",F67="S",F67="I"),-1,1)</f>
        <v>1937.34</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3"/>
        <v>G0296</v>
      </c>
      <c r="AU67" s="488" t="str">
        <f t="shared" si="4"/>
        <v>FONDS PENSION PCE AUTO</v>
      </c>
      <c r="AV67" s="899">
        <f>IFERROR(INDEX(V67:AG67,1,MATCH(Parametres!$B$3,V$1:AG$1,0)-1)*IF(OR(C67="L",C67="S",C67="I"),-1,1),"")</f>
        <v>0</v>
      </c>
      <c r="AW67" s="899">
        <f t="shared" si="5"/>
        <v>0</v>
      </c>
      <c r="AX67" s="899">
        <f>INDEX(V67:AG67,1,MATCH(Parametres!$B$3,V$1:AG$1,0))*IF(OR(C67="L",C67="S",C67="I"),-1,1)</f>
        <v>0</v>
      </c>
      <c r="AY67" s="487" t="s">
        <v>337</v>
      </c>
      <c r="AZ67" s="487">
        <f>+VLOOKUP($AJ67,Data_Validation!$A:$E,5,0)</f>
        <v>0</v>
      </c>
    </row>
    <row r="68" spans="1:52" ht="15" hidden="1" customHeight="1">
      <c r="A68" s="706" t="s">
        <v>1148</v>
      </c>
      <c r="B68" s="706">
        <v>2025</v>
      </c>
      <c r="C68" s="706" t="s">
        <v>1318</v>
      </c>
      <c r="D68" s="706" t="s">
        <v>1319</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G0297</v>
      </c>
      <c r="AK68" s="905" t="str">
        <f t="shared" ref="AK68:AK131" si="7">D68</f>
        <v>INDEMNITE RETRAITE-PCS</v>
      </c>
      <c r="AL68" s="905">
        <f>IFERROR(INDEX(G68:R68,1,MATCH(Parametres!$B$3,G$1:R$1,0)-1)*IF(OR(F68="L",F68="S",F68="I"),-1,1),"")</f>
        <v>0</v>
      </c>
      <c r="AM68" s="905">
        <f t="shared" ref="AM68:AM131" si="8">AN68-AL68</f>
        <v>0</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T131" si="9">C68</f>
        <v>G0297</v>
      </c>
      <c r="AU68" s="488" t="str">
        <f t="shared" ref="AU68:AU131" si="10">D68</f>
        <v>INDEMNITE RETRAITE-PCS</v>
      </c>
      <c r="AV68" s="899">
        <f>IFERROR(INDEX(V68:AG68,1,MATCH(Parametres!$B$3,V$1:AG$1,0)-1)*IF(OR(C68="L",C68="S",C68="I"),-1,1),"")</f>
        <v>0</v>
      </c>
      <c r="AW68" s="899">
        <f t="shared" ref="AW68:AW131" si="11">AX68-AV68</f>
        <v>0</v>
      </c>
      <c r="AX68" s="899">
        <f>INDEX(V68:AG68,1,MATCH(Parametres!$B$3,V$1:AG$1,0))*IF(OR(C68="L",C68="S",C68="I"),-1,1)</f>
        <v>0</v>
      </c>
      <c r="AY68" s="487" t="s">
        <v>337</v>
      </c>
      <c r="AZ68" s="487">
        <f>+VLOOKUP($AJ68,Data_Validation!$A:$E,5,0)</f>
        <v>0</v>
      </c>
    </row>
    <row r="69" spans="1:52" ht="15" customHeight="1">
      <c r="A69" s="706" t="s">
        <v>1148</v>
      </c>
      <c r="B69" s="706">
        <v>2025</v>
      </c>
      <c r="C69" s="706" t="s">
        <v>1320</v>
      </c>
      <c r="D69" s="706" t="s">
        <v>1321</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G0299</v>
      </c>
      <c r="AK69" s="905" t="str">
        <f t="shared" si="7"/>
        <v>FONDS PENSION ADMIN</v>
      </c>
      <c r="AL69" s="905">
        <f>IFERROR(INDEX(G69:R69,1,MATCH(Parametres!$B$3,G$1:R$1,0)-1)*IF(OR(F69="L",F69="S",F69="I"),-1,1),"")</f>
        <v>0</v>
      </c>
      <c r="AM69" s="905">
        <f t="shared" si="8"/>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G0299</v>
      </c>
      <c r="AU69" s="488" t="str">
        <f t="shared" si="10"/>
        <v>FONDS PENSION ADMIN</v>
      </c>
      <c r="AV69" s="899">
        <f>IFERROR(INDEX(V69:AG69,1,MATCH(Parametres!$B$3,V$1:AG$1,0)-1)*IF(OR(C69="L",C69="S",C69="I"),-1,1),"")</f>
        <v>0</v>
      </c>
      <c r="AW69" s="899">
        <f t="shared" si="11"/>
        <v>0</v>
      </c>
      <c r="AX69" s="899">
        <f>INDEX(V69:AG69,1,MATCH(Parametres!$B$3,V$1:AG$1,0))*IF(OR(C69="L",C69="S",C69="I"),-1,1)</f>
        <v>0</v>
      </c>
      <c r="AY69" s="487" t="s">
        <v>337</v>
      </c>
      <c r="AZ69" s="487" t="e">
        <f>+VLOOKUP($AJ69,Data_Validation!$A:$E,5,0)</f>
        <v>#N/A</v>
      </c>
    </row>
    <row r="70" spans="1:52" ht="15" customHeight="1">
      <c r="A70" s="706" t="s">
        <v>1148</v>
      </c>
      <c r="B70" s="706">
        <v>2025</v>
      </c>
      <c r="C70" s="706" t="s">
        <v>1322</v>
      </c>
      <c r="D70" s="706" t="s">
        <v>1323</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G0330</v>
      </c>
      <c r="AK70" s="905" t="str">
        <f t="shared" si="7"/>
        <v>FRAIS POSTE-TRANSPORT REP</v>
      </c>
      <c r="AL70" s="905">
        <f>IFERROR(INDEX(G70:R70,1,MATCH(Parametres!$B$3,G$1:R$1,0)-1)*IF(OR(F70="L",F70="S",F70="I"),-1,1),"")</f>
        <v>0</v>
      </c>
      <c r="AM70" s="905">
        <f t="shared" si="8"/>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9"/>
        <v>G0330</v>
      </c>
      <c r="AU70" s="488" t="str">
        <f t="shared" si="10"/>
        <v>FRAIS POSTE-TRANSPORT REP</v>
      </c>
      <c r="AV70" s="899">
        <f>IFERROR(INDEX(V70:AG70,1,MATCH(Parametres!$B$3,V$1:AG$1,0)-1)*IF(OR(C70="L",C70="S",C70="I"),-1,1),"")</f>
        <v>0</v>
      </c>
      <c r="AW70" s="899">
        <f t="shared" si="11"/>
        <v>0</v>
      </c>
      <c r="AX70" s="899">
        <f>INDEX(V70:AG70,1,MATCH(Parametres!$B$3,V$1:AG$1,0))*IF(OR(C70="L",C70="S",C70="I"),-1,1)</f>
        <v>0</v>
      </c>
      <c r="AY70" s="487" t="s">
        <v>337</v>
      </c>
      <c r="AZ70" s="487" t="e">
        <f>+VLOOKUP($AJ70,Data_Validation!$A:$E,5,0)</f>
        <v>#N/A</v>
      </c>
    </row>
    <row r="71" spans="1:52" ht="15" hidden="1" customHeight="1">
      <c r="A71" s="706" t="s">
        <v>1148</v>
      </c>
      <c r="B71" s="706">
        <v>2025</v>
      </c>
      <c r="C71" s="706" t="s">
        <v>1324</v>
      </c>
      <c r="D71" s="706" t="s">
        <v>1325</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G0331</v>
      </c>
      <c r="AK71" s="905" t="str">
        <f t="shared" si="7"/>
        <v>FRAIS POSTE-TRANSP NEUF</v>
      </c>
      <c r="AL71" s="905">
        <f>IFERROR(INDEX(G71:R71,1,MATCH(Parametres!$B$3,G$1:R$1,0)-1)*IF(OR(F71="L",F71="S",F71="I"),-1,1),"")</f>
        <v>8079.51</v>
      </c>
      <c r="AM71" s="905">
        <f t="shared" si="8"/>
        <v>681.21999999999935</v>
      </c>
      <c r="AN71" s="905">
        <f>INDEX(G71:R71,1,MATCH(Parametres!$B$3,G$1:R$1,0))*IF(OR(F71="L",F71="S",F71="I"),-1,1)</f>
        <v>8760.73</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9"/>
        <v>G0331</v>
      </c>
      <c r="AU71" s="488" t="str">
        <f t="shared" si="10"/>
        <v>FRAIS POSTE-TRANSP NEUF</v>
      </c>
      <c r="AV71" s="899">
        <f>IFERROR(INDEX(V71:AG71,1,MATCH(Parametres!$B$3,V$1:AG$1,0)-1)*IF(OR(C71="L",C71="S",C71="I"),-1,1),"")</f>
        <v>0</v>
      </c>
      <c r="AW71" s="899">
        <f t="shared" si="11"/>
        <v>0</v>
      </c>
      <c r="AX71" s="899">
        <f>INDEX(V71:AG71,1,MATCH(Parametres!$B$3,V$1:AG$1,0))*IF(OR(C71="L",C71="S",C71="I"),-1,1)</f>
        <v>0</v>
      </c>
      <c r="AY71" s="487" t="s">
        <v>337</v>
      </c>
      <c r="AZ71" s="487">
        <f>+VLOOKUP($AJ71,Data_Validation!$A:$E,5,0)</f>
        <v>0</v>
      </c>
    </row>
    <row r="72" spans="1:52" ht="15" hidden="1" customHeight="1">
      <c r="A72" s="706" t="s">
        <v>1148</v>
      </c>
      <c r="B72" s="706">
        <v>2025</v>
      </c>
      <c r="C72" s="706" t="s">
        <v>1326</v>
      </c>
      <c r="D72" s="706" t="s">
        <v>1327</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G0332</v>
      </c>
      <c r="AK72" s="905" t="str">
        <f t="shared" si="7"/>
        <v>FRAIS POSTE-TRANSP.USAGE</v>
      </c>
      <c r="AL72" s="905">
        <f>IFERROR(INDEX(G72:R72,1,MATCH(Parametres!$B$3,G$1:R$1,0)-1)*IF(OR(F72="L",F72="S",F72="I"),-1,1),"")</f>
        <v>9620.06</v>
      </c>
      <c r="AM72" s="905">
        <f t="shared" si="8"/>
        <v>761.76000000000022</v>
      </c>
      <c r="AN72" s="905">
        <f>INDEX(G72:R72,1,MATCH(Parametres!$B$3,G$1:R$1,0))*IF(OR(F72="L",F72="S",F72="I"),-1,1)</f>
        <v>10381.82</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9"/>
        <v>G0332</v>
      </c>
      <c r="AU72" s="488" t="str">
        <f t="shared" si="10"/>
        <v>FRAIS POSTE-TRANSP.USAGE</v>
      </c>
      <c r="AV72" s="899">
        <f>IFERROR(INDEX(V72:AG72,1,MATCH(Parametres!$B$3,V$1:AG$1,0)-1)*IF(OR(C72="L",C72="S",C72="I"),-1,1),"")</f>
        <v>0</v>
      </c>
      <c r="AW72" s="899">
        <f t="shared" si="11"/>
        <v>0</v>
      </c>
      <c r="AX72" s="899">
        <f>INDEX(V72:AG72,1,MATCH(Parametres!$B$3,V$1:AG$1,0))*IF(OR(C72="L",C72="S",C72="I"),-1,1)</f>
        <v>0</v>
      </c>
      <c r="AY72" s="487" t="s">
        <v>337</v>
      </c>
      <c r="AZ72" s="487">
        <f>+VLOOKUP($AJ72,Data_Validation!$A:$E,5,0)</f>
        <v>0</v>
      </c>
    </row>
    <row r="73" spans="1:52" ht="15" hidden="1" customHeight="1">
      <c r="A73" s="706" t="s">
        <v>1148</v>
      </c>
      <c r="B73" s="706">
        <v>2025</v>
      </c>
      <c r="C73" s="706" t="s">
        <v>1328</v>
      </c>
      <c r="D73" s="706" t="s">
        <v>1329</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G0333</v>
      </c>
      <c r="AK73" s="905" t="str">
        <f t="shared" si="7"/>
        <v>FRAIS POSTE-TRANSP U.S.A</v>
      </c>
      <c r="AL73" s="905">
        <f>IFERROR(INDEX(G73:R73,1,MATCH(Parametres!$B$3,G$1:R$1,0)-1)*IF(OR(F73="L",F73="S",F73="I"),-1,1),"")</f>
        <v>5801.95</v>
      </c>
      <c r="AM73" s="905">
        <f t="shared" si="8"/>
        <v>0</v>
      </c>
      <c r="AN73" s="905">
        <f>INDEX(G73:R73,1,MATCH(Parametres!$B$3,G$1:R$1,0))*IF(OR(F73="L",F73="S",F73="I"),-1,1)</f>
        <v>5801.95</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9"/>
        <v>G0333</v>
      </c>
      <c r="AU73" s="488" t="str">
        <f t="shared" si="10"/>
        <v>FRAIS POSTE-TRANSP U.S.A</v>
      </c>
      <c r="AV73" s="899">
        <f>IFERROR(INDEX(V73:AG73,1,MATCH(Parametres!$B$3,V$1:AG$1,0)-1)*IF(OR(C73="L",C73="S",C73="I"),-1,1),"")</f>
        <v>0</v>
      </c>
      <c r="AW73" s="899">
        <f t="shared" si="11"/>
        <v>0</v>
      </c>
      <c r="AX73" s="899">
        <f>INDEX(V73:AG73,1,MATCH(Parametres!$B$3,V$1:AG$1,0))*IF(OR(C73="L",C73="S",C73="I"),-1,1)</f>
        <v>0</v>
      </c>
      <c r="AY73" s="487" t="s">
        <v>337</v>
      </c>
      <c r="AZ73" s="487">
        <f>+VLOOKUP($AJ73,Data_Validation!$A:$E,5,0)</f>
        <v>0</v>
      </c>
    </row>
    <row r="74" spans="1:52" ht="15" hidden="1" customHeight="1">
      <c r="A74" s="706" t="s">
        <v>1148</v>
      </c>
      <c r="B74" s="706">
        <v>2025</v>
      </c>
      <c r="C74" s="706" t="s">
        <v>1330</v>
      </c>
      <c r="D74" s="706" t="s">
        <v>1331</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G0334</v>
      </c>
      <c r="AK74" s="905" t="str">
        <f t="shared" si="7"/>
        <v>FRAIS POSTE-TRANSP.SER.</v>
      </c>
      <c r="AL74" s="905">
        <f>IFERROR(INDEX(G74:R74,1,MATCH(Parametres!$B$3,G$1:R$1,0)-1)*IF(OR(F74="L",F74="S",F74="I"),-1,1),"")</f>
        <v>6122</v>
      </c>
      <c r="AM74" s="905">
        <f t="shared" si="8"/>
        <v>321.17000000000007</v>
      </c>
      <c r="AN74" s="905">
        <f>INDEX(G74:R74,1,MATCH(Parametres!$B$3,G$1:R$1,0))*IF(OR(F74="L",F74="S",F74="I"),-1,1)</f>
        <v>6443.17</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9"/>
        <v>G0334</v>
      </c>
      <c r="AU74" s="488" t="str">
        <f t="shared" si="10"/>
        <v>FRAIS POSTE-TRANSP.SER.</v>
      </c>
      <c r="AV74" s="899">
        <f>IFERROR(INDEX(V74:AG74,1,MATCH(Parametres!$B$3,V$1:AG$1,0)-1)*IF(OR(C74="L",C74="S",C74="I"),-1,1),"")</f>
        <v>0</v>
      </c>
      <c r="AW74" s="899">
        <f t="shared" si="11"/>
        <v>0</v>
      </c>
      <c r="AX74" s="899">
        <f>INDEX(V74:AG74,1,MATCH(Parametres!$B$3,V$1:AG$1,0))*IF(OR(C74="L",C74="S",C74="I"),-1,1)</f>
        <v>0</v>
      </c>
      <c r="AY74" s="487" t="s">
        <v>337</v>
      </c>
      <c r="AZ74" s="487">
        <f>+VLOOKUP($AJ74,Data_Validation!$A:$E,5,0)</f>
        <v>0</v>
      </c>
    </row>
    <row r="75" spans="1:52" ht="15" hidden="1" customHeight="1">
      <c r="A75" s="706" t="s">
        <v>1148</v>
      </c>
      <c r="B75" s="706">
        <v>2025</v>
      </c>
      <c r="C75" s="706" t="s">
        <v>1332</v>
      </c>
      <c r="D75" s="706" t="s">
        <v>1333</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G0335</v>
      </c>
      <c r="AK75" s="905" t="str">
        <f t="shared" si="7"/>
        <v>FRAIS POSTE-TRANSP. CARR.</v>
      </c>
      <c r="AL75" s="905">
        <f>IFERROR(INDEX(G75:R75,1,MATCH(Parametres!$B$3,G$1:R$1,0)-1)*IF(OR(F75="L",F75="S",F75="I"),-1,1),"")</f>
        <v>2261.5300000000002</v>
      </c>
      <c r="AM75" s="905">
        <f t="shared" si="8"/>
        <v>101.9399999999996</v>
      </c>
      <c r="AN75" s="905">
        <f>INDEX(G75:R75,1,MATCH(Parametres!$B$3,G$1:R$1,0))*IF(OR(F75="L",F75="S",F75="I"),-1,1)</f>
        <v>2363.4699999999998</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9"/>
        <v>G0335</v>
      </c>
      <c r="AU75" s="488" t="str">
        <f t="shared" si="10"/>
        <v>FRAIS POSTE-TRANSP. CARR.</v>
      </c>
      <c r="AV75" s="899">
        <f>IFERROR(INDEX(V75:AG75,1,MATCH(Parametres!$B$3,V$1:AG$1,0)-1)*IF(OR(C75="L",C75="S",C75="I"),-1,1),"")</f>
        <v>0</v>
      </c>
      <c r="AW75" s="899">
        <f t="shared" si="11"/>
        <v>0</v>
      </c>
      <c r="AX75" s="899">
        <f>INDEX(V75:AG75,1,MATCH(Parametres!$B$3,V$1:AG$1,0))*IF(OR(C75="L",C75="S",C75="I"),-1,1)</f>
        <v>0</v>
      </c>
      <c r="AY75" s="487" t="s">
        <v>337</v>
      </c>
      <c r="AZ75" s="487">
        <f>+VLOOKUP($AJ75,Data_Validation!$A:$E,5,0)</f>
        <v>0</v>
      </c>
    </row>
    <row r="76" spans="1:52" ht="15" hidden="1" customHeight="1">
      <c r="A76" s="706" t="s">
        <v>1148</v>
      </c>
      <c r="B76" s="706">
        <v>2025</v>
      </c>
      <c r="C76" s="706" t="s">
        <v>1334</v>
      </c>
      <c r="D76" s="706" t="s">
        <v>1335</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G0336</v>
      </c>
      <c r="AK76" s="905" t="str">
        <f t="shared" si="7"/>
        <v>FRAIS POSTE-TRANSP PIECE</v>
      </c>
      <c r="AL76" s="905">
        <f>IFERROR(INDEX(G76:R76,1,MATCH(Parametres!$B$3,G$1:R$1,0)-1)*IF(OR(F76="L",F76="S",F76="I"),-1,1),"")</f>
        <v>6105.21</v>
      </c>
      <c r="AM76" s="905">
        <f t="shared" si="8"/>
        <v>239.92000000000007</v>
      </c>
      <c r="AN76" s="905">
        <f>INDEX(G76:R76,1,MATCH(Parametres!$B$3,G$1:R$1,0))*IF(OR(F76="L",F76="S",F76="I"),-1,1)</f>
        <v>6345.13</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9"/>
        <v>G0336</v>
      </c>
      <c r="AU76" s="488" t="str">
        <f t="shared" si="10"/>
        <v>FRAIS POSTE-TRANSP PIECE</v>
      </c>
      <c r="AV76" s="899">
        <f>IFERROR(INDEX(V76:AG76,1,MATCH(Parametres!$B$3,V$1:AG$1,0)-1)*IF(OR(C76="L",C76="S",C76="I"),-1,1),"")</f>
        <v>0</v>
      </c>
      <c r="AW76" s="899">
        <f t="shared" si="11"/>
        <v>0</v>
      </c>
      <c r="AX76" s="899">
        <f>INDEX(V76:AG76,1,MATCH(Parametres!$B$3,V$1:AG$1,0))*IF(OR(C76="L",C76="S",C76="I"),-1,1)</f>
        <v>0</v>
      </c>
      <c r="AY76" s="487" t="s">
        <v>337</v>
      </c>
      <c r="AZ76" s="487">
        <f>+VLOOKUP($AJ76,Data_Validation!$A:$E,5,0)</f>
        <v>0</v>
      </c>
    </row>
    <row r="77" spans="1:52" ht="15" customHeight="1">
      <c r="A77" s="706" t="s">
        <v>1148</v>
      </c>
      <c r="B77" s="706">
        <v>2025</v>
      </c>
      <c r="C77" s="706" t="s">
        <v>1336</v>
      </c>
      <c r="D77" s="706" t="s">
        <v>1337</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G0510</v>
      </c>
      <c r="AK77" s="905" t="str">
        <f t="shared" si="7"/>
        <v>ENT. DEMOS REP.</v>
      </c>
      <c r="AL77" s="905">
        <f>IFERROR(INDEX(G77:R77,1,MATCH(Parametres!$B$3,G$1:R$1,0)-1)*IF(OR(F77="L",F77="S",F77="I"),-1,1),"")</f>
        <v>0</v>
      </c>
      <c r="AM77" s="905">
        <f t="shared" si="8"/>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G0510</v>
      </c>
      <c r="AU77" s="488" t="str">
        <f t="shared" si="10"/>
        <v>ENT. DEMOS REP.</v>
      </c>
      <c r="AV77" s="899">
        <f>IFERROR(INDEX(V77:AG77,1,MATCH(Parametres!$B$3,V$1:AG$1,0)-1)*IF(OR(C77="L",C77="S",C77="I"),-1,1),"")</f>
        <v>0</v>
      </c>
      <c r="AW77" s="899">
        <f t="shared" si="11"/>
        <v>0</v>
      </c>
      <c r="AX77" s="899">
        <f>INDEX(V77:AG77,1,MATCH(Parametres!$B$3,V$1:AG$1,0))*IF(OR(C77="L",C77="S",C77="I"),-1,1)</f>
        <v>0</v>
      </c>
      <c r="AY77" s="487" t="s">
        <v>337</v>
      </c>
      <c r="AZ77" s="487" t="e">
        <f>+VLOOKUP($AJ77,Data_Validation!$A:$E,5,0)</f>
        <v>#N/A</v>
      </c>
    </row>
    <row r="78" spans="1:52" ht="15" hidden="1" customHeight="1">
      <c r="A78" s="706" t="s">
        <v>1148</v>
      </c>
      <c r="B78" s="706">
        <v>2025</v>
      </c>
      <c r="C78" s="706" t="s">
        <v>1338</v>
      </c>
      <c r="D78" s="706" t="s">
        <v>1339</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G0511</v>
      </c>
      <c r="AK78" s="905" t="str">
        <f t="shared" si="7"/>
        <v>ENT. DEMOS NEUFS</v>
      </c>
      <c r="AL78" s="905">
        <f>IFERROR(INDEX(G78:R78,1,MATCH(Parametres!$B$3,G$1:R$1,0)-1)*IF(OR(F78="L",F78="S",F78="I"),-1,1),"")</f>
        <v>109093.9</v>
      </c>
      <c r="AM78" s="905">
        <f t="shared" si="8"/>
        <v>4782.8300000000017</v>
      </c>
      <c r="AN78" s="905">
        <f>INDEX(G78:R78,1,MATCH(Parametres!$B$3,G$1:R$1,0))*IF(OR(F78="L",F78="S",F78="I"),-1,1)</f>
        <v>113876.73</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9"/>
        <v>G0511</v>
      </c>
      <c r="AU78" s="488" t="str">
        <f t="shared" si="10"/>
        <v>ENT. DEMOS NEUFS</v>
      </c>
      <c r="AV78" s="899">
        <f>IFERROR(INDEX(V78:AG78,1,MATCH(Parametres!$B$3,V$1:AG$1,0)-1)*IF(OR(C78="L",C78="S",C78="I"),-1,1),"")</f>
        <v>0</v>
      </c>
      <c r="AW78" s="899">
        <f t="shared" si="11"/>
        <v>0</v>
      </c>
      <c r="AX78" s="899">
        <f>INDEX(V78:AG78,1,MATCH(Parametres!$B$3,V$1:AG$1,0))*IF(OR(C78="L",C78="S",C78="I"),-1,1)</f>
        <v>0</v>
      </c>
      <c r="AY78" s="487" t="s">
        <v>337</v>
      </c>
      <c r="AZ78" s="487">
        <f>+VLOOKUP($AJ78,Data_Validation!$A:$E,5,0)</f>
        <v>0</v>
      </c>
    </row>
    <row r="79" spans="1:52" ht="15" hidden="1" customHeight="1">
      <c r="A79" s="706" t="s">
        <v>1148</v>
      </c>
      <c r="B79" s="706">
        <v>2025</v>
      </c>
      <c r="C79" s="706" t="s">
        <v>1340</v>
      </c>
      <c r="D79" s="706" t="s">
        <v>1341</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G0512</v>
      </c>
      <c r="AK79" s="905" t="str">
        <f t="shared" si="7"/>
        <v>ENT. DEMOS USAGES</v>
      </c>
      <c r="AL79" s="905">
        <f>IFERROR(INDEX(G79:R79,1,MATCH(Parametres!$B$3,G$1:R$1,0)-1)*IF(OR(F79="L",F79="S",F79="I"),-1,1),"")</f>
        <v>19273.330000000002</v>
      </c>
      <c r="AM79" s="905">
        <f t="shared" si="8"/>
        <v>9383.489999999998</v>
      </c>
      <c r="AN79" s="905">
        <f>INDEX(G79:R79,1,MATCH(Parametres!$B$3,G$1:R$1,0))*IF(OR(F79="L",F79="S",F79="I"),-1,1)</f>
        <v>28656.82</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9"/>
        <v>G0512</v>
      </c>
      <c r="AU79" s="488" t="str">
        <f t="shared" si="10"/>
        <v>ENT. DEMOS USAGES</v>
      </c>
      <c r="AV79" s="899">
        <f>IFERROR(INDEX(V79:AG79,1,MATCH(Parametres!$B$3,V$1:AG$1,0)-1)*IF(OR(C79="L",C79="S",C79="I"),-1,1),"")</f>
        <v>0</v>
      </c>
      <c r="AW79" s="899">
        <f t="shared" si="11"/>
        <v>0</v>
      </c>
      <c r="AX79" s="899">
        <f>INDEX(V79:AG79,1,MATCH(Parametres!$B$3,V$1:AG$1,0))*IF(OR(C79="L",C79="S",C79="I"),-1,1)</f>
        <v>0</v>
      </c>
      <c r="AY79" s="487" t="s">
        <v>337</v>
      </c>
      <c r="AZ79" s="487">
        <f>+VLOOKUP($AJ79,Data_Validation!$A:$E,5,0)</f>
        <v>0</v>
      </c>
    </row>
    <row r="80" spans="1:52" ht="15.75" hidden="1" customHeight="1">
      <c r="A80" s="706" t="s">
        <v>1148</v>
      </c>
      <c r="B80" s="706">
        <v>2025</v>
      </c>
      <c r="C80" s="706" t="s">
        <v>1342</v>
      </c>
      <c r="D80" s="706" t="s">
        <v>1343</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G0513</v>
      </c>
      <c r="AK80" s="905" t="str">
        <f t="shared" si="7"/>
        <v>ENT. DEMOS U.S.A</v>
      </c>
      <c r="AL80" s="905">
        <f>IFERROR(INDEX(G80:R80,1,MATCH(Parametres!$B$3,G$1:R$1,0)-1)*IF(OR(F80="L",F80="S",F80="I"),-1,1),"")</f>
        <v>0</v>
      </c>
      <c r="AM80" s="905">
        <f t="shared" si="8"/>
        <v>0</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9"/>
        <v>G0513</v>
      </c>
      <c r="AU80" s="488" t="str">
        <f t="shared" si="10"/>
        <v>ENT. DEMOS U.S.A</v>
      </c>
      <c r="AV80" s="899">
        <f>IFERROR(INDEX(V80:AG80,1,MATCH(Parametres!$B$3,V$1:AG$1,0)-1)*IF(OR(C80="L",C80="S",C80="I"),-1,1),"")</f>
        <v>0</v>
      </c>
      <c r="AW80" s="899">
        <f t="shared" si="11"/>
        <v>0</v>
      </c>
      <c r="AX80" s="899">
        <f>INDEX(V80:AG80,1,MATCH(Parametres!$B$3,V$1:AG$1,0))*IF(OR(C80="L",C80="S",C80="I"),-1,1)</f>
        <v>0</v>
      </c>
      <c r="AY80" s="487" t="s">
        <v>337</v>
      </c>
      <c r="AZ80" s="487">
        <f>+VLOOKUP($AJ80,Data_Validation!$A:$E,5,0)</f>
        <v>0</v>
      </c>
    </row>
    <row r="81" spans="1:52" ht="15" hidden="1" customHeight="1">
      <c r="A81" s="706" t="s">
        <v>1148</v>
      </c>
      <c r="B81" s="706">
        <v>2025</v>
      </c>
      <c r="C81" s="706" t="s">
        <v>1344</v>
      </c>
      <c r="D81" s="706" t="s">
        <v>1345</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G0514</v>
      </c>
      <c r="AK81" s="905" t="str">
        <f t="shared" si="7"/>
        <v>ENT. DEMOS SERVICE</v>
      </c>
      <c r="AL81" s="905">
        <f>IFERROR(INDEX(G81:R81,1,MATCH(Parametres!$B$3,G$1:R$1,0)-1)*IF(OR(F81="L",F81="S",F81="I"),-1,1),"")</f>
        <v>-58458.94</v>
      </c>
      <c r="AM81" s="905">
        <f t="shared" si="8"/>
        <v>7383.7099999999991</v>
      </c>
      <c r="AN81" s="905">
        <f>INDEX(G81:R81,1,MATCH(Parametres!$B$3,G$1:R$1,0))*IF(OR(F81="L",F81="S",F81="I"),-1,1)</f>
        <v>-51075.23</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9"/>
        <v>G0514</v>
      </c>
      <c r="AU81" s="488" t="str">
        <f t="shared" si="10"/>
        <v>ENT. DEMOS SERVICE</v>
      </c>
      <c r="AV81" s="899">
        <f>IFERROR(INDEX(V81:AG81,1,MATCH(Parametres!$B$3,V$1:AG$1,0)-1)*IF(OR(C81="L",C81="S",C81="I"),-1,1),"")</f>
        <v>0</v>
      </c>
      <c r="AW81" s="899">
        <f t="shared" si="11"/>
        <v>0</v>
      </c>
      <c r="AX81" s="899">
        <f>INDEX(V81:AG81,1,MATCH(Parametres!$B$3,V$1:AG$1,0))*IF(OR(C81="L",C81="S",C81="I"),-1,1)</f>
        <v>0</v>
      </c>
      <c r="AY81" s="487" t="s">
        <v>337</v>
      </c>
      <c r="AZ81" s="487">
        <f>+VLOOKUP($AJ81,Data_Validation!$A:$E,5,0)</f>
        <v>0</v>
      </c>
    </row>
    <row r="82" spans="1:52" ht="15" hidden="1" customHeight="1">
      <c r="A82" s="706" t="s">
        <v>1148</v>
      </c>
      <c r="B82" s="706">
        <v>2025</v>
      </c>
      <c r="C82" s="706" t="s">
        <v>1346</v>
      </c>
      <c r="D82" s="706" t="s">
        <v>1347</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G0515</v>
      </c>
      <c r="AK82" s="905" t="str">
        <f t="shared" si="7"/>
        <v>ENT. DEMOS CARROSSERIE</v>
      </c>
      <c r="AL82" s="905">
        <f>IFERROR(INDEX(G82:R82,1,MATCH(Parametres!$B$3,G$1:R$1,0)-1)*IF(OR(F82="L",F82="S",F82="I"),-1,1),"")</f>
        <v>-9690.4500000000007</v>
      </c>
      <c r="AM82" s="905">
        <f t="shared" si="8"/>
        <v>1191.6100000000006</v>
      </c>
      <c r="AN82" s="905">
        <f>INDEX(G82:R82,1,MATCH(Parametres!$B$3,G$1:R$1,0))*IF(OR(F82="L",F82="S",F82="I"),-1,1)</f>
        <v>-8498.84</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9"/>
        <v>G0515</v>
      </c>
      <c r="AU82" s="488" t="str">
        <f t="shared" si="10"/>
        <v>ENT. DEMOS CARROSSERIE</v>
      </c>
      <c r="AV82" s="899">
        <f>IFERROR(INDEX(V82:AG82,1,MATCH(Parametres!$B$3,V$1:AG$1,0)-1)*IF(OR(C82="L",C82="S",C82="I"),-1,1),"")</f>
        <v>0</v>
      </c>
      <c r="AW82" s="899">
        <f t="shared" si="11"/>
        <v>0</v>
      </c>
      <c r="AX82" s="899">
        <f>INDEX(V82:AG82,1,MATCH(Parametres!$B$3,V$1:AG$1,0))*IF(OR(C82="L",C82="S",C82="I"),-1,1)</f>
        <v>0</v>
      </c>
      <c r="AY82" s="487" t="s">
        <v>337</v>
      </c>
      <c r="AZ82" s="487">
        <f>+VLOOKUP($AJ82,Data_Validation!$A:$E,5,0)</f>
        <v>0</v>
      </c>
    </row>
    <row r="83" spans="1:52" ht="15" hidden="1" customHeight="1">
      <c r="A83" s="706" t="s">
        <v>1148</v>
      </c>
      <c r="B83" s="706">
        <v>2025</v>
      </c>
      <c r="C83" s="706" t="s">
        <v>1348</v>
      </c>
      <c r="D83" s="706" t="s">
        <v>1349</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G0516</v>
      </c>
      <c r="AK83" s="905" t="str">
        <f t="shared" si="7"/>
        <v>ENT. DEMOS PIECES</v>
      </c>
      <c r="AL83" s="905">
        <f>IFERROR(INDEX(G83:R83,1,MATCH(Parametres!$B$3,G$1:R$1,0)-1)*IF(OR(F83="L",F83="S",F83="I"),-1,1),"")</f>
        <v>24811.64</v>
      </c>
      <c r="AM83" s="905">
        <f t="shared" si="8"/>
        <v>2637.7999999999993</v>
      </c>
      <c r="AN83" s="905">
        <f>INDEX(G83:R83,1,MATCH(Parametres!$B$3,G$1:R$1,0))*IF(OR(F83="L",F83="S",F83="I"),-1,1)</f>
        <v>27449.439999999999</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9"/>
        <v>G0516</v>
      </c>
      <c r="AU83" s="488" t="str">
        <f t="shared" si="10"/>
        <v>ENT. DEMOS PIECES</v>
      </c>
      <c r="AV83" s="899">
        <f>IFERROR(INDEX(V83:AG83,1,MATCH(Parametres!$B$3,V$1:AG$1,0)-1)*IF(OR(C83="L",C83="S",C83="I"),-1,1),"")</f>
        <v>0</v>
      </c>
      <c r="AW83" s="899">
        <f t="shared" si="11"/>
        <v>0</v>
      </c>
      <c r="AX83" s="899">
        <f>INDEX(V83:AG83,1,MATCH(Parametres!$B$3,V$1:AG$1,0))*IF(OR(C83="L",C83="S",C83="I"),-1,1)</f>
        <v>0</v>
      </c>
      <c r="AY83" s="487" t="s">
        <v>337</v>
      </c>
      <c r="AZ83" s="487">
        <f>+VLOOKUP($AJ83,Data_Validation!$A:$E,5,0)</f>
        <v>0</v>
      </c>
    </row>
    <row r="84" spans="1:52" ht="15.75" customHeight="1">
      <c r="A84" s="706" t="s">
        <v>1148</v>
      </c>
      <c r="B84" s="706">
        <v>2025</v>
      </c>
      <c r="C84" s="706" t="s">
        <v>1350</v>
      </c>
      <c r="D84" s="706" t="s">
        <v>1351</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G0560</v>
      </c>
      <c r="AK84" s="905" t="str">
        <f t="shared" si="7"/>
        <v>ASSURANCES STOCK REP.</v>
      </c>
      <c r="AL84" s="905">
        <f>IFERROR(INDEX(G84:R84,1,MATCH(Parametres!$B$3,G$1:R$1,0)-1)*IF(OR(F84="L",F84="S",F84="I"),-1,1),"")</f>
        <v>0</v>
      </c>
      <c r="AM84" s="905">
        <f t="shared" si="8"/>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9"/>
        <v>G0560</v>
      </c>
      <c r="AU84" s="488" t="str">
        <f t="shared" si="10"/>
        <v>ASSURANCES STOCK REP.</v>
      </c>
      <c r="AV84" s="899">
        <f>IFERROR(INDEX(V84:AG84,1,MATCH(Parametres!$B$3,V$1:AG$1,0)-1)*IF(OR(C84="L",C84="S",C84="I"),-1,1),"")</f>
        <v>0</v>
      </c>
      <c r="AW84" s="899">
        <f t="shared" si="11"/>
        <v>0</v>
      </c>
      <c r="AX84" s="899">
        <f>INDEX(V84:AG84,1,MATCH(Parametres!$B$3,V$1:AG$1,0))*IF(OR(C84="L",C84="S",C84="I"),-1,1)</f>
        <v>0</v>
      </c>
      <c r="AY84" s="487" t="s">
        <v>337</v>
      </c>
      <c r="AZ84" s="487" t="e">
        <f>+VLOOKUP($AJ84,Data_Validation!$A:$E,5,0)</f>
        <v>#N/A</v>
      </c>
    </row>
    <row r="85" spans="1:52" ht="15" customHeight="1">
      <c r="A85" s="706" t="s">
        <v>1148</v>
      </c>
      <c r="B85" s="706">
        <v>2025</v>
      </c>
      <c r="C85" s="706" t="s">
        <v>1352</v>
      </c>
      <c r="D85" s="706" t="s">
        <v>1353</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G0561</v>
      </c>
      <c r="AK85" s="905" t="str">
        <f t="shared" si="7"/>
        <v>ASSURANCE STOCK VEH.NEUF</v>
      </c>
      <c r="AL85" s="905">
        <f>IFERROR(INDEX(G85:R85,1,MATCH(Parametres!$B$3,G$1:R$1,0)-1)*IF(OR(F85="L",F85="S",F85="I"),-1,1),"")</f>
        <v>0</v>
      </c>
      <c r="AM85" s="905">
        <f t="shared" si="8"/>
        <v>0</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9"/>
        <v>G0561</v>
      </c>
      <c r="AU85" s="488" t="str">
        <f t="shared" si="10"/>
        <v>ASSURANCE STOCK VEH.NEUF</v>
      </c>
      <c r="AV85" s="899">
        <f>IFERROR(INDEX(V85:AG85,1,MATCH(Parametres!$B$3,V$1:AG$1,0)-1)*IF(OR(C85="L",C85="S",C85="I"),-1,1),"")</f>
        <v>0</v>
      </c>
      <c r="AW85" s="899">
        <f t="shared" si="11"/>
        <v>0</v>
      </c>
      <c r="AX85" s="899">
        <f>INDEX(V85:AG85,1,MATCH(Parametres!$B$3,V$1:AG$1,0))*IF(OR(C85="L",C85="S",C85="I"),-1,1)</f>
        <v>0</v>
      </c>
      <c r="AY85" s="487" t="s">
        <v>337</v>
      </c>
      <c r="AZ85" s="487">
        <f>+VLOOKUP($AJ85,Data_Validation!$A:$E,5,0)</f>
        <v>0</v>
      </c>
    </row>
    <row r="86" spans="1:52" ht="15" customHeight="1">
      <c r="A86" s="706" t="s">
        <v>1148</v>
      </c>
      <c r="B86" s="706">
        <v>2025</v>
      </c>
      <c r="C86" s="706" t="s">
        <v>1354</v>
      </c>
      <c r="D86" s="706" t="s">
        <v>1355</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G0562</v>
      </c>
      <c r="AK86" s="905" t="str">
        <f t="shared" si="7"/>
        <v>ASSURANCE STOCK VEH USAGE</v>
      </c>
      <c r="AL86" s="905">
        <f>IFERROR(INDEX(G86:R86,1,MATCH(Parametres!$B$3,G$1:R$1,0)-1)*IF(OR(F86="L",F86="S",F86="I"),-1,1),"")</f>
        <v>0</v>
      </c>
      <c r="AM86" s="905">
        <f t="shared" si="8"/>
        <v>0</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9"/>
        <v>G0562</v>
      </c>
      <c r="AU86" s="488" t="str">
        <f t="shared" si="10"/>
        <v>ASSURANCE STOCK VEH USAGE</v>
      </c>
      <c r="AV86" s="899">
        <f>IFERROR(INDEX(V86:AG86,1,MATCH(Parametres!$B$3,V$1:AG$1,0)-1)*IF(OR(C86="L",C86="S",C86="I"),-1,1),"")</f>
        <v>0</v>
      </c>
      <c r="AW86" s="899">
        <f t="shared" si="11"/>
        <v>0</v>
      </c>
      <c r="AX86" s="899">
        <f>INDEX(V86:AG86,1,MATCH(Parametres!$B$3,V$1:AG$1,0))*IF(OR(C86="L",C86="S",C86="I"),-1,1)</f>
        <v>0</v>
      </c>
      <c r="AY86" s="487" t="s">
        <v>337</v>
      </c>
      <c r="AZ86" s="487">
        <f>+VLOOKUP($AJ86,Data_Validation!$A:$E,5,0)</f>
        <v>0</v>
      </c>
    </row>
    <row r="87" spans="1:52" ht="15" customHeight="1">
      <c r="A87" s="706" t="s">
        <v>1148</v>
      </c>
      <c r="B87" s="706">
        <v>2025</v>
      </c>
      <c r="C87" s="706" t="s">
        <v>1356</v>
      </c>
      <c r="D87" s="706" t="s">
        <v>1357</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G0563</v>
      </c>
      <c r="AK87" s="905" t="str">
        <f t="shared" si="7"/>
        <v>ASSURANCES STOCK U.S.A</v>
      </c>
      <c r="AL87" s="905">
        <f>IFERROR(INDEX(G87:R87,1,MATCH(Parametres!$B$3,G$1:R$1,0)-1)*IF(OR(F87="L",F87="S",F87="I"),-1,1),"")</f>
        <v>0</v>
      </c>
      <c r="AM87" s="905">
        <f t="shared" si="8"/>
        <v>0</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9"/>
        <v>G0563</v>
      </c>
      <c r="AU87" s="488" t="str">
        <f t="shared" si="10"/>
        <v>ASSURANCES STOCK U.S.A</v>
      </c>
      <c r="AV87" s="899">
        <f>IFERROR(INDEX(V87:AG87,1,MATCH(Parametres!$B$3,V$1:AG$1,0)-1)*IF(OR(C87="L",C87="S",C87="I"),-1,1),"")</f>
        <v>0</v>
      </c>
      <c r="AW87" s="899">
        <f t="shared" si="11"/>
        <v>0</v>
      </c>
      <c r="AX87" s="899">
        <f>INDEX(V87:AG87,1,MATCH(Parametres!$B$3,V$1:AG$1,0))*IF(OR(C87="L",C87="S",C87="I"),-1,1)</f>
        <v>0</v>
      </c>
      <c r="AY87" s="487" t="s">
        <v>337</v>
      </c>
      <c r="AZ87" s="487">
        <f>+VLOOKUP($AJ87,Data_Validation!$A:$E,5,0)</f>
        <v>0</v>
      </c>
    </row>
    <row r="88" spans="1:52" ht="15" hidden="1" customHeight="1">
      <c r="A88" s="706" t="s">
        <v>1148</v>
      </c>
      <c r="B88" s="706">
        <v>2025</v>
      </c>
      <c r="C88" s="706" t="s">
        <v>1358</v>
      </c>
      <c r="D88" s="706" t="s">
        <v>1359</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G0571</v>
      </c>
      <c r="AK88" s="905" t="str">
        <f t="shared" si="7"/>
        <v>MAUVAISE CREANCES NEUF</v>
      </c>
      <c r="AL88" s="905">
        <f>IFERROR(INDEX(G88:R88,1,MATCH(Parametres!$B$3,G$1:R$1,0)-1)*IF(OR(F88="L",F88="S",F88="I"),-1,1),"")</f>
        <v>0</v>
      </c>
      <c r="AM88" s="905">
        <f t="shared" si="8"/>
        <v>0</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9"/>
        <v>G0571</v>
      </c>
      <c r="AU88" s="488" t="str">
        <f t="shared" si="10"/>
        <v>MAUVAISE CREANCES NEUF</v>
      </c>
      <c r="AV88" s="899">
        <f>IFERROR(INDEX(V88:AG88,1,MATCH(Parametres!$B$3,V$1:AG$1,0)-1)*IF(OR(C88="L",C88="S",C88="I"),-1,1),"")</f>
        <v>0</v>
      </c>
      <c r="AW88" s="899">
        <f t="shared" si="11"/>
        <v>0</v>
      </c>
      <c r="AX88" s="899">
        <f>INDEX(V88:AG88,1,MATCH(Parametres!$B$3,V$1:AG$1,0))*IF(OR(C88="L",C88="S",C88="I"),-1,1)</f>
        <v>0</v>
      </c>
      <c r="AY88" s="487" t="s">
        <v>337</v>
      </c>
      <c r="AZ88" s="487">
        <f>+VLOOKUP($AJ88,Data_Validation!$A:$E,5,0)</f>
        <v>0</v>
      </c>
    </row>
    <row r="89" spans="1:52" ht="15" hidden="1" customHeight="1">
      <c r="A89" s="706" t="s">
        <v>1148</v>
      </c>
      <c r="B89" s="706">
        <v>2025</v>
      </c>
      <c r="C89" s="706" t="s">
        <v>1360</v>
      </c>
      <c r="D89" s="706" t="s">
        <v>1361</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G0572</v>
      </c>
      <c r="AK89" s="905" t="str">
        <f t="shared" si="7"/>
        <v>MAUVAISES CREANCES USAGÉS</v>
      </c>
      <c r="AL89" s="905">
        <f>IFERROR(INDEX(G89:R89,1,MATCH(Parametres!$B$3,G$1:R$1,0)-1)*IF(OR(F89="L",F89="S",F89="I"),-1,1),"")</f>
        <v>0</v>
      </c>
      <c r="AM89" s="905">
        <f t="shared" si="8"/>
        <v>0</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9"/>
        <v>G0572</v>
      </c>
      <c r="AU89" s="488" t="str">
        <f t="shared" si="10"/>
        <v>MAUVAISES CREANCES USAGÉS</v>
      </c>
      <c r="AV89" s="899">
        <f>IFERROR(INDEX(V89:AG89,1,MATCH(Parametres!$B$3,V$1:AG$1,0)-1)*IF(OR(C89="L",C89="S",C89="I"),-1,1),"")</f>
        <v>0</v>
      </c>
      <c r="AW89" s="899">
        <f t="shared" si="11"/>
        <v>0</v>
      </c>
      <c r="AX89" s="899">
        <f>INDEX(V89:AG89,1,MATCH(Parametres!$B$3,V$1:AG$1,0))*IF(OR(C89="L",C89="S",C89="I"),-1,1)</f>
        <v>0</v>
      </c>
      <c r="AY89" s="487" t="s">
        <v>337</v>
      </c>
      <c r="AZ89" s="487">
        <f>+VLOOKUP($AJ89,Data_Validation!$A:$E,5,0)</f>
        <v>0</v>
      </c>
    </row>
    <row r="90" spans="1:52" ht="15" hidden="1" customHeight="1">
      <c r="A90" s="706" t="s">
        <v>1148</v>
      </c>
      <c r="B90" s="706">
        <v>2025</v>
      </c>
      <c r="C90" s="706" t="s">
        <v>1362</v>
      </c>
      <c r="D90" s="706" t="s">
        <v>1363</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G0574</v>
      </c>
      <c r="AK90" s="905" t="str">
        <f t="shared" si="7"/>
        <v>MAUVAISES CRÉANCES SERVIC</v>
      </c>
      <c r="AL90" s="905">
        <f>IFERROR(INDEX(G90:R90,1,MATCH(Parametres!$B$3,G$1:R$1,0)-1)*IF(OR(F90="L",F90="S",F90="I"),-1,1),"")</f>
        <v>0</v>
      </c>
      <c r="AM90" s="905">
        <f t="shared" si="8"/>
        <v>0</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9"/>
        <v>G0574</v>
      </c>
      <c r="AU90" s="488" t="str">
        <f t="shared" si="10"/>
        <v>MAUVAISES CRÉANCES SERVIC</v>
      </c>
      <c r="AV90" s="899">
        <f>IFERROR(INDEX(V90:AG90,1,MATCH(Parametres!$B$3,V$1:AG$1,0)-1)*IF(OR(C90="L",C90="S",C90="I"),-1,1),"")</f>
        <v>0</v>
      </c>
      <c r="AW90" s="899">
        <f t="shared" si="11"/>
        <v>0</v>
      </c>
      <c r="AX90" s="899">
        <f>INDEX(V90:AG90,1,MATCH(Parametres!$B$3,V$1:AG$1,0))*IF(OR(C90="L",C90="S",C90="I"),-1,1)</f>
        <v>0</v>
      </c>
      <c r="AY90" s="487" t="s">
        <v>337</v>
      </c>
      <c r="AZ90" s="487">
        <f>+VLOOKUP($AJ90,Data_Validation!$A:$E,5,0)</f>
        <v>0</v>
      </c>
    </row>
    <row r="91" spans="1:52" ht="15" hidden="1" customHeight="1">
      <c r="A91" s="706" t="s">
        <v>1148</v>
      </c>
      <c r="B91" s="706">
        <v>2025</v>
      </c>
      <c r="C91" s="706" t="s">
        <v>1364</v>
      </c>
      <c r="D91" s="706" t="s">
        <v>1365</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G0576</v>
      </c>
      <c r="AK91" s="905" t="str">
        <f t="shared" si="7"/>
        <v>MAUVAISES CRÉANCES PIÈCES</v>
      </c>
      <c r="AL91" s="905">
        <f>IFERROR(INDEX(G91:R91,1,MATCH(Parametres!$B$3,G$1:R$1,0)-1)*IF(OR(F91="L",F91="S",F91="I"),-1,1),"")</f>
        <v>0</v>
      </c>
      <c r="AM91" s="905">
        <f t="shared" si="8"/>
        <v>0</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9"/>
        <v>G0576</v>
      </c>
      <c r="AU91" s="488" t="str">
        <f t="shared" si="10"/>
        <v>MAUVAISES CRÉANCES PIÈCES</v>
      </c>
      <c r="AV91" s="899">
        <f>IFERROR(INDEX(V91:AG91,1,MATCH(Parametres!$B$3,V$1:AG$1,0)-1)*IF(OR(C91="L",C91="S",C91="I"),-1,1),"")</f>
        <v>0</v>
      </c>
      <c r="AW91" s="899">
        <f t="shared" si="11"/>
        <v>0</v>
      </c>
      <c r="AX91" s="899">
        <f>INDEX(V91:AG91,1,MATCH(Parametres!$B$3,V$1:AG$1,0))*IF(OR(C91="L",C91="S",C91="I"),-1,1)</f>
        <v>0</v>
      </c>
      <c r="AY91" s="487" t="s">
        <v>337</v>
      </c>
      <c r="AZ91" s="487">
        <f>+VLOOKUP($AJ91,Data_Validation!$A:$E,5,0)</f>
        <v>0</v>
      </c>
    </row>
    <row r="92" spans="1:52" ht="15" customHeight="1">
      <c r="A92" s="706" t="s">
        <v>1148</v>
      </c>
      <c r="B92" s="706">
        <v>2025</v>
      </c>
      <c r="C92" s="706" t="s">
        <v>1366</v>
      </c>
      <c r="D92" s="706" t="s">
        <v>1367</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G0580</v>
      </c>
      <c r="AK92" s="905" t="str">
        <f t="shared" si="7"/>
        <v>FRAIS DE BANQUE</v>
      </c>
      <c r="AL92" s="905">
        <f>IFERROR(INDEX(G92:R92,1,MATCH(Parametres!$B$3,G$1:R$1,0)-1)*IF(OR(F92="L",F92="S",F92="I"),-1,1),"")</f>
        <v>0</v>
      </c>
      <c r="AM92" s="905">
        <f t="shared" si="8"/>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9"/>
        <v>G0580</v>
      </c>
      <c r="AU92" s="488" t="str">
        <f t="shared" si="10"/>
        <v>FRAIS DE BANQUE</v>
      </c>
      <c r="AV92" s="899">
        <f>IFERROR(INDEX(V92:AG92,1,MATCH(Parametres!$B$3,V$1:AG$1,0)-1)*IF(OR(C92="L",C92="S",C92="I"),-1,1),"")</f>
        <v>0</v>
      </c>
      <c r="AW92" s="899">
        <f t="shared" si="11"/>
        <v>0</v>
      </c>
      <c r="AX92" s="899">
        <f>INDEX(V92:AG92,1,MATCH(Parametres!$B$3,V$1:AG$1,0))*IF(OR(C92="L",C92="S",C92="I"),-1,1)</f>
        <v>0</v>
      </c>
      <c r="AY92" s="487" t="s">
        <v>337</v>
      </c>
      <c r="AZ92" s="487" t="e">
        <f>+VLOOKUP($AJ92,Data_Validation!$A:$E,5,0)</f>
        <v>#N/A</v>
      </c>
    </row>
    <row r="93" spans="1:52" ht="15" hidden="1" customHeight="1">
      <c r="A93" s="706" t="s">
        <v>1148</v>
      </c>
      <c r="B93" s="706">
        <v>2025</v>
      </c>
      <c r="C93" s="706" t="s">
        <v>1368</v>
      </c>
      <c r="D93" s="706" t="s">
        <v>1369</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G0581</v>
      </c>
      <c r="AK93" s="905" t="str">
        <f t="shared" si="7"/>
        <v>FRAIS DE BANQUE NEUF</v>
      </c>
      <c r="AL93" s="905">
        <f>IFERROR(INDEX(G93:R93,1,MATCH(Parametres!$B$3,G$1:R$1,0)-1)*IF(OR(F93="L",F93="S",F93="I"),-1,1),"")</f>
        <v>3227.62</v>
      </c>
      <c r="AM93" s="905">
        <f t="shared" si="8"/>
        <v>445.28999999999996</v>
      </c>
      <c r="AN93" s="905">
        <f>INDEX(G93:R93,1,MATCH(Parametres!$B$3,G$1:R$1,0))*IF(OR(F93="L",F93="S",F93="I"),-1,1)</f>
        <v>3672.91</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9"/>
        <v>G0581</v>
      </c>
      <c r="AU93" s="488" t="str">
        <f t="shared" si="10"/>
        <v>FRAIS DE BANQUE NEUF</v>
      </c>
      <c r="AV93" s="899">
        <f>IFERROR(INDEX(V93:AG93,1,MATCH(Parametres!$B$3,V$1:AG$1,0)-1)*IF(OR(C93="L",C93="S",C93="I"),-1,1),"")</f>
        <v>0</v>
      </c>
      <c r="AW93" s="899">
        <f t="shared" si="11"/>
        <v>0</v>
      </c>
      <c r="AX93" s="899">
        <f>INDEX(V93:AG93,1,MATCH(Parametres!$B$3,V$1:AG$1,0))*IF(OR(C93="L",C93="S",C93="I"),-1,1)</f>
        <v>0</v>
      </c>
      <c r="AY93" s="487" t="s">
        <v>337</v>
      </c>
      <c r="AZ93" s="487">
        <f>+VLOOKUP($AJ93,Data_Validation!$A:$E,5,0)</f>
        <v>0</v>
      </c>
    </row>
    <row r="94" spans="1:52" ht="15.75" hidden="1" customHeight="1">
      <c r="A94" s="706" t="s">
        <v>1148</v>
      </c>
      <c r="B94" s="706">
        <v>2025</v>
      </c>
      <c r="C94" s="706" t="s">
        <v>1370</v>
      </c>
      <c r="D94" s="706" t="s">
        <v>1371</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G0582</v>
      </c>
      <c r="AK94" s="905" t="str">
        <f t="shared" si="7"/>
        <v>FRAIS DE BANQUE USAGE</v>
      </c>
      <c r="AL94" s="905">
        <f>IFERROR(INDEX(G94:R94,1,MATCH(Parametres!$B$3,G$1:R$1,0)-1)*IF(OR(F94="L",F94="S",F94="I"),-1,1),"")</f>
        <v>2173.25</v>
      </c>
      <c r="AM94" s="905">
        <f t="shared" si="8"/>
        <v>292.57000000000016</v>
      </c>
      <c r="AN94" s="905">
        <f>INDEX(G94:R94,1,MATCH(Parametres!$B$3,G$1:R$1,0))*IF(OR(F94="L",F94="S",F94="I"),-1,1)</f>
        <v>2465.8200000000002</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9"/>
        <v>G0582</v>
      </c>
      <c r="AU94" s="488" t="str">
        <f t="shared" si="10"/>
        <v>FRAIS DE BANQUE USAGE</v>
      </c>
      <c r="AV94" s="899">
        <f>IFERROR(INDEX(V94:AG94,1,MATCH(Parametres!$B$3,V$1:AG$1,0)-1)*IF(OR(C94="L",C94="S",C94="I"),-1,1),"")</f>
        <v>0</v>
      </c>
      <c r="AW94" s="899">
        <f t="shared" si="11"/>
        <v>0</v>
      </c>
      <c r="AX94" s="899">
        <f>INDEX(V94:AG94,1,MATCH(Parametres!$B$3,V$1:AG$1,0))*IF(OR(C94="L",C94="S",C94="I"),-1,1)</f>
        <v>0</v>
      </c>
      <c r="AY94" s="487" t="s">
        <v>337</v>
      </c>
      <c r="AZ94" s="487">
        <f>+VLOOKUP($AJ94,Data_Validation!$A:$E,5,0)</f>
        <v>0</v>
      </c>
    </row>
    <row r="95" spans="1:52" ht="15" hidden="1" customHeight="1">
      <c r="A95" s="706" t="s">
        <v>1148</v>
      </c>
      <c r="B95" s="706">
        <v>2025</v>
      </c>
      <c r="C95" s="706" t="s">
        <v>1372</v>
      </c>
      <c r="D95" s="706" t="s">
        <v>1373</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G0583</v>
      </c>
      <c r="AK95" s="905" t="str">
        <f t="shared" si="7"/>
        <v>FRAIS DE BANQUE U.S.A</v>
      </c>
      <c r="AL95" s="905">
        <f>IFERROR(INDEX(G95:R95,1,MATCH(Parametres!$B$3,G$1:R$1,0)-1)*IF(OR(F95="L",F95="S",F95="I"),-1,1),"")</f>
        <v>2134.59</v>
      </c>
      <c r="AM95" s="905">
        <f t="shared" si="8"/>
        <v>0</v>
      </c>
      <c r="AN95" s="905">
        <f>INDEX(G95:R95,1,MATCH(Parametres!$B$3,G$1:R$1,0))*IF(OR(F95="L",F95="S",F95="I"),-1,1)</f>
        <v>2134.59</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9"/>
        <v>G0583</v>
      </c>
      <c r="AU95" s="488" t="str">
        <f t="shared" si="10"/>
        <v>FRAIS DE BANQUE U.S.A</v>
      </c>
      <c r="AV95" s="899">
        <f>IFERROR(INDEX(V95:AG95,1,MATCH(Parametres!$B$3,V$1:AG$1,0)-1)*IF(OR(C95="L",C95="S",C95="I"),-1,1),"")</f>
        <v>0</v>
      </c>
      <c r="AW95" s="899">
        <f t="shared" si="11"/>
        <v>0</v>
      </c>
      <c r="AX95" s="899">
        <f>INDEX(V95:AG95,1,MATCH(Parametres!$B$3,V$1:AG$1,0))*IF(OR(C95="L",C95="S",C95="I"),-1,1)</f>
        <v>0</v>
      </c>
      <c r="AY95" s="487" t="s">
        <v>337</v>
      </c>
      <c r="AZ95" s="487">
        <f>+VLOOKUP($AJ95,Data_Validation!$A:$E,5,0)</f>
        <v>0</v>
      </c>
    </row>
    <row r="96" spans="1:52" ht="15" hidden="1" customHeight="1">
      <c r="A96" s="706" t="s">
        <v>1148</v>
      </c>
      <c r="B96" s="706">
        <v>2025</v>
      </c>
      <c r="C96" s="706" t="s">
        <v>1374</v>
      </c>
      <c r="D96" s="706" t="s">
        <v>1375</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G0584</v>
      </c>
      <c r="AK96" s="905" t="str">
        <f t="shared" si="7"/>
        <v>FRAIS DE BANQUE SERVICE</v>
      </c>
      <c r="AL96" s="905">
        <f>IFERROR(INDEX(G96:R96,1,MATCH(Parametres!$B$3,G$1:R$1,0)-1)*IF(OR(F96="L",F96="S",F96="I"),-1,1),"")</f>
        <v>3203.64</v>
      </c>
      <c r="AM96" s="905">
        <f t="shared" si="8"/>
        <v>463.30999999999995</v>
      </c>
      <c r="AN96" s="905">
        <f>INDEX(G96:R96,1,MATCH(Parametres!$B$3,G$1:R$1,0))*IF(OR(F96="L",F96="S",F96="I"),-1,1)</f>
        <v>3666.95</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9"/>
        <v>G0584</v>
      </c>
      <c r="AU96" s="488" t="str">
        <f t="shared" si="10"/>
        <v>FRAIS DE BANQUE SERVICE</v>
      </c>
      <c r="AV96" s="899">
        <f>IFERROR(INDEX(V96:AG96,1,MATCH(Parametres!$B$3,V$1:AG$1,0)-1)*IF(OR(C96="L",C96="S",C96="I"),-1,1),"")</f>
        <v>0</v>
      </c>
      <c r="AW96" s="899">
        <f t="shared" si="11"/>
        <v>0</v>
      </c>
      <c r="AX96" s="899">
        <f>INDEX(V96:AG96,1,MATCH(Parametres!$B$3,V$1:AG$1,0))*IF(OR(C96="L",C96="S",C96="I"),-1,1)</f>
        <v>0</v>
      </c>
      <c r="AY96" s="487" t="s">
        <v>337</v>
      </c>
      <c r="AZ96" s="487">
        <f>+VLOOKUP($AJ96,Data_Validation!$A:$E,5,0)</f>
        <v>0</v>
      </c>
    </row>
    <row r="97" spans="1:52" ht="15" hidden="1" customHeight="1">
      <c r="A97" s="706" t="s">
        <v>1148</v>
      </c>
      <c r="B97" s="706">
        <v>2025</v>
      </c>
      <c r="C97" s="706" t="s">
        <v>1376</v>
      </c>
      <c r="D97" s="706" t="s">
        <v>1377</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G0585</v>
      </c>
      <c r="AK97" s="905" t="str">
        <f t="shared" si="7"/>
        <v>FRAIS DE BANQUE CARROSERI</v>
      </c>
      <c r="AL97" s="905">
        <f>IFERROR(INDEX(G97:R97,1,MATCH(Parametres!$B$3,G$1:R$1,0)-1)*IF(OR(F97="L",F97="S",F97="I"),-1,1),"")</f>
        <v>1007.87</v>
      </c>
      <c r="AM97" s="905">
        <f t="shared" si="8"/>
        <v>146.29000000000008</v>
      </c>
      <c r="AN97" s="905">
        <f>INDEX(G97:R97,1,MATCH(Parametres!$B$3,G$1:R$1,0))*IF(OR(F97="L",F97="S",F97="I"),-1,1)</f>
        <v>1154.1600000000001</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9"/>
        <v>G0585</v>
      </c>
      <c r="AU97" s="488" t="str">
        <f t="shared" si="10"/>
        <v>FRAIS DE BANQUE CARROSERI</v>
      </c>
      <c r="AV97" s="899">
        <f>IFERROR(INDEX(V97:AG97,1,MATCH(Parametres!$B$3,V$1:AG$1,0)-1)*IF(OR(C97="L",C97="S",C97="I"),-1,1),"")</f>
        <v>0</v>
      </c>
      <c r="AW97" s="899">
        <f t="shared" si="11"/>
        <v>0</v>
      </c>
      <c r="AX97" s="899">
        <f>INDEX(V97:AG97,1,MATCH(Parametres!$B$3,V$1:AG$1,0))*IF(OR(C97="L",C97="S",C97="I"),-1,1)</f>
        <v>0</v>
      </c>
      <c r="AY97" s="487" t="s">
        <v>337</v>
      </c>
      <c r="AZ97" s="487">
        <f>+VLOOKUP($AJ97,Data_Validation!$A:$E,5,0)</f>
        <v>0</v>
      </c>
    </row>
    <row r="98" spans="1:52" ht="15" hidden="1" customHeight="1">
      <c r="A98" s="706" t="s">
        <v>1148</v>
      </c>
      <c r="B98" s="706">
        <v>2025</v>
      </c>
      <c r="C98" s="706" t="s">
        <v>1378</v>
      </c>
      <c r="D98" s="706" t="s">
        <v>1379</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G0586</v>
      </c>
      <c r="AK98" s="905" t="str">
        <f t="shared" si="7"/>
        <v>FRAIS DE BANQUE PIECES</v>
      </c>
      <c r="AL98" s="905">
        <f>IFERROR(INDEX(G98:R98,1,MATCH(Parametres!$B$3,G$1:R$1,0)-1)*IF(OR(F98="L",F98="S",F98="I"),-1,1),"")</f>
        <v>1007.85</v>
      </c>
      <c r="AM98" s="905">
        <f t="shared" si="8"/>
        <v>146.29000000000008</v>
      </c>
      <c r="AN98" s="905">
        <f>INDEX(G98:R98,1,MATCH(Parametres!$B$3,G$1:R$1,0))*IF(OR(F98="L",F98="S",F98="I"),-1,1)</f>
        <v>1154.1400000000001</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9"/>
        <v>G0586</v>
      </c>
      <c r="AU98" s="488" t="str">
        <f t="shared" si="10"/>
        <v>FRAIS DE BANQUE PIECES</v>
      </c>
      <c r="AV98" s="899">
        <f>IFERROR(INDEX(V98:AG98,1,MATCH(Parametres!$B$3,V$1:AG$1,0)-1)*IF(OR(C98="L",C98="S",C98="I"),-1,1),"")</f>
        <v>0</v>
      </c>
      <c r="AW98" s="899">
        <f t="shared" si="11"/>
        <v>0</v>
      </c>
      <c r="AX98" s="899">
        <f>INDEX(V98:AG98,1,MATCH(Parametres!$B$3,V$1:AG$1,0))*IF(OR(C98="L",C98="S",C98="I"),-1,1)</f>
        <v>0</v>
      </c>
      <c r="AY98" s="487" t="s">
        <v>337</v>
      </c>
      <c r="AZ98" s="487">
        <f>+VLOOKUP($AJ98,Data_Validation!$A:$E,5,0)</f>
        <v>0</v>
      </c>
    </row>
    <row r="99" spans="1:52" ht="15.75" customHeight="1">
      <c r="A99" s="706" t="s">
        <v>1148</v>
      </c>
      <c r="B99" s="706">
        <v>2025</v>
      </c>
      <c r="C99" s="706" t="s">
        <v>1380</v>
      </c>
      <c r="D99" s="706" t="s">
        <v>1381</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G0600</v>
      </c>
      <c r="AK99" s="905" t="str">
        <f t="shared" si="7"/>
        <v>FRAIS BUREAU REP.</v>
      </c>
      <c r="AL99" s="905">
        <f>IFERROR(INDEX(G99:R99,1,MATCH(Parametres!$B$3,G$1:R$1,0)-1)*IF(OR(F99="L",F99="S",F99="I"),-1,1),"")</f>
        <v>0</v>
      </c>
      <c r="AM99" s="905">
        <f t="shared" si="8"/>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9"/>
        <v>G0600</v>
      </c>
      <c r="AU99" s="488" t="str">
        <f t="shared" si="10"/>
        <v>FRAIS BUREAU REP.</v>
      </c>
      <c r="AV99" s="899">
        <f>IFERROR(INDEX(V99:AG99,1,MATCH(Parametres!$B$3,V$1:AG$1,0)-1)*IF(OR(C99="L",C99="S",C99="I"),-1,1),"")</f>
        <v>0</v>
      </c>
      <c r="AW99" s="899">
        <f t="shared" si="11"/>
        <v>0</v>
      </c>
      <c r="AX99" s="899">
        <f>INDEX(V99:AG99,1,MATCH(Parametres!$B$3,V$1:AG$1,0))*IF(OR(C99="L",C99="S",C99="I"),-1,1)</f>
        <v>0</v>
      </c>
      <c r="AY99" s="487" t="s">
        <v>337</v>
      </c>
      <c r="AZ99" s="487" t="e">
        <f>+VLOOKUP($AJ99,Data_Validation!$A:$E,5,0)</f>
        <v>#N/A</v>
      </c>
    </row>
    <row r="100" spans="1:52" ht="15" hidden="1" customHeight="1">
      <c r="A100" s="706" t="s">
        <v>1148</v>
      </c>
      <c r="B100" s="706">
        <v>2025</v>
      </c>
      <c r="C100" s="706" t="s">
        <v>1382</v>
      </c>
      <c r="D100" s="706" t="s">
        <v>1383</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G0601</v>
      </c>
      <c r="AK100" s="905" t="str">
        <f t="shared" si="7"/>
        <v>FRAIS BUREAU NEUFS</v>
      </c>
      <c r="AL100" s="905">
        <f>IFERROR(INDEX(G100:R100,1,MATCH(Parametres!$B$3,G$1:R$1,0)-1)*IF(OR(F100="L",F100="S",F100="I"),-1,1),"")</f>
        <v>19170.64</v>
      </c>
      <c r="AM100" s="905">
        <f t="shared" si="8"/>
        <v>2171.3199999999997</v>
      </c>
      <c r="AN100" s="905">
        <f>INDEX(G100:R100,1,MATCH(Parametres!$B$3,G$1:R$1,0))*IF(OR(F100="L",F100="S",F100="I"),-1,1)</f>
        <v>21341.96</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9"/>
        <v>G0601</v>
      </c>
      <c r="AU100" s="488" t="str">
        <f t="shared" si="10"/>
        <v>FRAIS BUREAU NEUFS</v>
      </c>
      <c r="AV100" s="899">
        <f>IFERROR(INDEX(V100:AG100,1,MATCH(Parametres!$B$3,V$1:AG$1,0)-1)*IF(OR(C100="L",C100="S",C100="I"),-1,1),"")</f>
        <v>0</v>
      </c>
      <c r="AW100" s="899">
        <f t="shared" si="11"/>
        <v>0</v>
      </c>
      <c r="AX100" s="899">
        <f>INDEX(V100:AG100,1,MATCH(Parametres!$B$3,V$1:AG$1,0))*IF(OR(C100="L",C100="S",C100="I"),-1,1)</f>
        <v>0</v>
      </c>
      <c r="AY100" s="487" t="s">
        <v>337</v>
      </c>
      <c r="AZ100" s="487">
        <f>+VLOOKUP($AJ100,Data_Validation!$A:$E,5,0)</f>
        <v>0</v>
      </c>
    </row>
    <row r="101" spans="1:52" ht="15" hidden="1" customHeight="1">
      <c r="A101" s="706" t="s">
        <v>1148</v>
      </c>
      <c r="B101" s="706">
        <v>2025</v>
      </c>
      <c r="C101" s="706" t="s">
        <v>1384</v>
      </c>
      <c r="D101" s="706" t="s">
        <v>1385</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G0602</v>
      </c>
      <c r="AK101" s="905" t="str">
        <f t="shared" si="7"/>
        <v>FRAIS BUREAU USAGES</v>
      </c>
      <c r="AL101" s="905">
        <f>IFERROR(INDEX(G101:R101,1,MATCH(Parametres!$B$3,G$1:R$1,0)-1)*IF(OR(F101="L",F101="S",F101="I"),-1,1),"")</f>
        <v>5772.1</v>
      </c>
      <c r="AM101" s="905">
        <f t="shared" si="8"/>
        <v>908.29</v>
      </c>
      <c r="AN101" s="905">
        <f>INDEX(G101:R101,1,MATCH(Parametres!$B$3,G$1:R$1,0))*IF(OR(F101="L",F101="S",F101="I"),-1,1)</f>
        <v>6680.39</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9"/>
        <v>G0602</v>
      </c>
      <c r="AU101" s="488" t="str">
        <f t="shared" si="10"/>
        <v>FRAIS BUREAU USAGES</v>
      </c>
      <c r="AV101" s="899">
        <f>IFERROR(INDEX(V101:AG101,1,MATCH(Parametres!$B$3,V$1:AG$1,0)-1)*IF(OR(C101="L",C101="S",C101="I"),-1,1),"")</f>
        <v>0</v>
      </c>
      <c r="AW101" s="899">
        <f t="shared" si="11"/>
        <v>0</v>
      </c>
      <c r="AX101" s="899">
        <f>INDEX(V101:AG101,1,MATCH(Parametres!$B$3,V$1:AG$1,0))*IF(OR(C101="L",C101="S",C101="I"),-1,1)</f>
        <v>0</v>
      </c>
      <c r="AY101" s="487" t="s">
        <v>337</v>
      </c>
      <c r="AZ101" s="487">
        <f>+VLOOKUP($AJ101,Data_Validation!$A:$E,5,0)</f>
        <v>0</v>
      </c>
    </row>
    <row r="102" spans="1:52" ht="15" hidden="1" customHeight="1">
      <c r="A102" s="706" t="s">
        <v>1148</v>
      </c>
      <c r="B102" s="706">
        <v>2025</v>
      </c>
      <c r="C102" s="706" t="s">
        <v>1386</v>
      </c>
      <c r="D102" s="706" t="s">
        <v>1387</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G0603</v>
      </c>
      <c r="AK102" s="905" t="str">
        <f t="shared" si="7"/>
        <v>FRAIS BUREAU U.S.A</v>
      </c>
      <c r="AL102" s="905">
        <f>IFERROR(INDEX(G102:R102,1,MATCH(Parametres!$B$3,G$1:R$1,0)-1)*IF(OR(F102="L",F102="S",F102="I"),-1,1),"")</f>
        <v>1727.37</v>
      </c>
      <c r="AM102" s="905">
        <f t="shared" si="8"/>
        <v>-7000</v>
      </c>
      <c r="AN102" s="905">
        <f>INDEX(G102:R102,1,MATCH(Parametres!$B$3,G$1:R$1,0))*IF(OR(F102="L",F102="S",F102="I"),-1,1)</f>
        <v>-5272.63</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9"/>
        <v>G0603</v>
      </c>
      <c r="AU102" s="488" t="str">
        <f t="shared" si="10"/>
        <v>FRAIS BUREAU U.S.A</v>
      </c>
      <c r="AV102" s="899">
        <f>IFERROR(INDEX(V102:AG102,1,MATCH(Parametres!$B$3,V$1:AG$1,0)-1)*IF(OR(C102="L",C102="S",C102="I"),-1,1),"")</f>
        <v>0</v>
      </c>
      <c r="AW102" s="899">
        <f t="shared" si="11"/>
        <v>0</v>
      </c>
      <c r="AX102" s="899">
        <f>INDEX(V102:AG102,1,MATCH(Parametres!$B$3,V$1:AG$1,0))*IF(OR(C102="L",C102="S",C102="I"),-1,1)</f>
        <v>0</v>
      </c>
      <c r="AY102" s="487" t="s">
        <v>337</v>
      </c>
      <c r="AZ102" s="487">
        <f>+VLOOKUP($AJ102,Data_Validation!$A:$E,5,0)</f>
        <v>0</v>
      </c>
    </row>
    <row r="103" spans="1:52" ht="15.75" hidden="1" customHeight="1">
      <c r="A103" s="706" t="s">
        <v>1148</v>
      </c>
      <c r="B103" s="706">
        <v>2025</v>
      </c>
      <c r="C103" s="706" t="s">
        <v>1388</v>
      </c>
      <c r="D103" s="706" t="s">
        <v>1389</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G0604</v>
      </c>
      <c r="AK103" s="905" t="str">
        <f t="shared" si="7"/>
        <v>FRAIS BUREAU SERVICE</v>
      </c>
      <c r="AL103" s="905">
        <f>IFERROR(INDEX(G103:R103,1,MATCH(Parametres!$B$3,G$1:R$1,0)-1)*IF(OR(F103="L",F103="S",F103="I"),-1,1),"")</f>
        <v>12536.21</v>
      </c>
      <c r="AM103" s="905">
        <f t="shared" si="8"/>
        <v>1562.5100000000002</v>
      </c>
      <c r="AN103" s="905">
        <f>INDEX(G103:R103,1,MATCH(Parametres!$B$3,G$1:R$1,0))*IF(OR(F103="L",F103="S",F103="I"),-1,1)</f>
        <v>14098.72</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9"/>
        <v>G0604</v>
      </c>
      <c r="AU103" s="488" t="str">
        <f t="shared" si="10"/>
        <v>FRAIS BUREAU SERVICE</v>
      </c>
      <c r="AV103" s="899">
        <f>IFERROR(INDEX(V103:AG103,1,MATCH(Parametres!$B$3,V$1:AG$1,0)-1)*IF(OR(C103="L",C103="S",C103="I"),-1,1),"")</f>
        <v>0</v>
      </c>
      <c r="AW103" s="899">
        <f t="shared" si="11"/>
        <v>0</v>
      </c>
      <c r="AX103" s="899">
        <f>INDEX(V103:AG103,1,MATCH(Parametres!$B$3,V$1:AG$1,0))*IF(OR(C103="L",C103="S",C103="I"),-1,1)</f>
        <v>0</v>
      </c>
      <c r="AY103" s="487" t="s">
        <v>337</v>
      </c>
      <c r="AZ103" s="487">
        <f>+VLOOKUP($AJ103,Data_Validation!$A:$E,5,0)</f>
        <v>0</v>
      </c>
    </row>
    <row r="104" spans="1:52" ht="15" hidden="1" customHeight="1">
      <c r="A104" s="706" t="s">
        <v>1148</v>
      </c>
      <c r="B104" s="706">
        <v>2025</v>
      </c>
      <c r="C104" s="706" t="s">
        <v>1390</v>
      </c>
      <c r="D104" s="706" t="s">
        <v>1391</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G0605</v>
      </c>
      <c r="AK104" s="905" t="str">
        <f t="shared" si="7"/>
        <v>FRAIS BUREAU CARROSS.</v>
      </c>
      <c r="AL104" s="905">
        <f>IFERROR(INDEX(G104:R104,1,MATCH(Parametres!$B$3,G$1:R$1,0)-1)*IF(OR(F104="L",F104="S",F104="I"),-1,1),"")</f>
        <v>4913.13</v>
      </c>
      <c r="AM104" s="905">
        <f t="shared" si="8"/>
        <v>454.26000000000022</v>
      </c>
      <c r="AN104" s="905">
        <f>INDEX(G104:R104,1,MATCH(Parametres!$B$3,G$1:R$1,0))*IF(OR(F104="L",F104="S",F104="I"),-1,1)</f>
        <v>5367.39</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9"/>
        <v>G0605</v>
      </c>
      <c r="AU104" s="488" t="str">
        <f t="shared" si="10"/>
        <v>FRAIS BUREAU CARROSS.</v>
      </c>
      <c r="AV104" s="899">
        <f>IFERROR(INDEX(V104:AG104,1,MATCH(Parametres!$B$3,V$1:AG$1,0)-1)*IF(OR(C104="L",C104="S",C104="I"),-1,1),"")</f>
        <v>0</v>
      </c>
      <c r="AW104" s="899">
        <f t="shared" si="11"/>
        <v>0</v>
      </c>
      <c r="AX104" s="899">
        <f>INDEX(V104:AG104,1,MATCH(Parametres!$B$3,V$1:AG$1,0))*IF(OR(C104="L",C104="S",C104="I"),-1,1)</f>
        <v>0</v>
      </c>
      <c r="AY104" s="487" t="s">
        <v>337</v>
      </c>
      <c r="AZ104" s="487">
        <f>+VLOOKUP($AJ104,Data_Validation!$A:$E,5,0)</f>
        <v>0</v>
      </c>
    </row>
    <row r="105" spans="1:52" ht="15" hidden="1" customHeight="1">
      <c r="A105" s="706" t="s">
        <v>1148</v>
      </c>
      <c r="B105" s="706">
        <v>2025</v>
      </c>
      <c r="C105" s="706" t="s">
        <v>1392</v>
      </c>
      <c r="D105" s="706" t="s">
        <v>1393</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G0606</v>
      </c>
      <c r="AK105" s="905" t="str">
        <f t="shared" si="7"/>
        <v>FRAIS BUREAU PIECES</v>
      </c>
      <c r="AL105" s="905">
        <f>IFERROR(INDEX(G105:R105,1,MATCH(Parametres!$B$3,G$1:R$1,0)-1)*IF(OR(F105="L",F105="S",F105="I"),-1,1),"")</f>
        <v>4283.1899999999996</v>
      </c>
      <c r="AM105" s="905">
        <f t="shared" si="8"/>
        <v>1188.46</v>
      </c>
      <c r="AN105" s="905">
        <f>INDEX(G105:R105,1,MATCH(Parametres!$B$3,G$1:R$1,0))*IF(OR(F105="L",F105="S",F105="I"),-1,1)</f>
        <v>5471.65</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9"/>
        <v>G0606</v>
      </c>
      <c r="AU105" s="488" t="str">
        <f t="shared" si="10"/>
        <v>FRAIS BUREAU PIECES</v>
      </c>
      <c r="AV105" s="899">
        <f>IFERROR(INDEX(V105:AG105,1,MATCH(Parametres!$B$3,V$1:AG$1,0)-1)*IF(OR(C105="L",C105="S",C105="I"),-1,1),"")</f>
        <v>0</v>
      </c>
      <c r="AW105" s="899">
        <f t="shared" si="11"/>
        <v>0</v>
      </c>
      <c r="AX105" s="899">
        <f>INDEX(V105:AG105,1,MATCH(Parametres!$B$3,V$1:AG$1,0))*IF(OR(C105="L",C105="S",C105="I"),-1,1)</f>
        <v>0</v>
      </c>
      <c r="AY105" s="487" t="s">
        <v>337</v>
      </c>
      <c r="AZ105" s="487">
        <f>+VLOOKUP($AJ105,Data_Validation!$A:$E,5,0)</f>
        <v>0</v>
      </c>
    </row>
    <row r="106" spans="1:52" ht="15" customHeight="1">
      <c r="A106" s="706" t="s">
        <v>1148</v>
      </c>
      <c r="B106" s="706">
        <v>2025</v>
      </c>
      <c r="C106" s="706" t="s">
        <v>1394</v>
      </c>
      <c r="D106" s="706" t="s">
        <v>1395</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G0610</v>
      </c>
      <c r="AK106" s="905" t="str">
        <f t="shared" si="7"/>
        <v>AUTRES FOURNITURES REP.</v>
      </c>
      <c r="AL106" s="905">
        <f>IFERROR(INDEX(G106:R106,1,MATCH(Parametres!$B$3,G$1:R$1,0)-1)*IF(OR(F106="L",F106="S",F106="I"),-1,1),"")</f>
        <v>0</v>
      </c>
      <c r="AM106" s="905">
        <f t="shared" si="8"/>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9"/>
        <v>G0610</v>
      </c>
      <c r="AU106" s="488" t="str">
        <f t="shared" si="10"/>
        <v>AUTRES FOURNITURES REP.</v>
      </c>
      <c r="AV106" s="899">
        <f>IFERROR(INDEX(V106:AG106,1,MATCH(Parametres!$B$3,V$1:AG$1,0)-1)*IF(OR(C106="L",C106="S",C106="I"),-1,1),"")</f>
        <v>0</v>
      </c>
      <c r="AW106" s="899">
        <f t="shared" si="11"/>
        <v>0</v>
      </c>
      <c r="AX106" s="899">
        <f>INDEX(V106:AG106,1,MATCH(Parametres!$B$3,V$1:AG$1,0))*IF(OR(C106="L",C106="S",C106="I"),-1,1)</f>
        <v>0</v>
      </c>
      <c r="AY106" s="487" t="s">
        <v>337</v>
      </c>
      <c r="AZ106" s="487" t="e">
        <f>+VLOOKUP($AJ106,Data_Validation!$A:$E,5,0)</f>
        <v>#N/A</v>
      </c>
    </row>
    <row r="107" spans="1:52" ht="15" hidden="1" customHeight="1">
      <c r="A107" s="706" t="s">
        <v>1148</v>
      </c>
      <c r="B107" s="706">
        <v>2025</v>
      </c>
      <c r="C107" s="706" t="s">
        <v>1396</v>
      </c>
      <c r="D107" s="706" t="s">
        <v>1397</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G0611</v>
      </c>
      <c r="AK107" s="905" t="str">
        <f t="shared" si="7"/>
        <v>AUTRES FOURNITURES-NEUF</v>
      </c>
      <c r="AL107" s="905">
        <f>IFERROR(INDEX(G107:R107,1,MATCH(Parametres!$B$3,G$1:R$1,0)-1)*IF(OR(F107="L",F107="S",F107="I"),-1,1),"")</f>
        <v>6191.83</v>
      </c>
      <c r="AM107" s="905">
        <f t="shared" si="8"/>
        <v>644.5</v>
      </c>
      <c r="AN107" s="905">
        <f>INDEX(G107:R107,1,MATCH(Parametres!$B$3,G$1:R$1,0))*IF(OR(F107="L",F107="S",F107="I"),-1,1)</f>
        <v>6836.33</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9"/>
        <v>G0611</v>
      </c>
      <c r="AU107" s="488" t="str">
        <f t="shared" si="10"/>
        <v>AUTRES FOURNITURES-NEUF</v>
      </c>
      <c r="AV107" s="899">
        <f>IFERROR(INDEX(V107:AG107,1,MATCH(Parametres!$B$3,V$1:AG$1,0)-1)*IF(OR(C107="L",C107="S",C107="I"),-1,1),"")</f>
        <v>0</v>
      </c>
      <c r="AW107" s="899">
        <f t="shared" si="11"/>
        <v>0</v>
      </c>
      <c r="AX107" s="899">
        <f>INDEX(V107:AG107,1,MATCH(Parametres!$B$3,V$1:AG$1,0))*IF(OR(C107="L",C107="S",C107="I"),-1,1)</f>
        <v>0</v>
      </c>
      <c r="AY107" s="487" t="s">
        <v>337</v>
      </c>
      <c r="AZ107" s="487">
        <f>+VLOOKUP($AJ107,Data_Validation!$A:$E,5,0)</f>
        <v>0</v>
      </c>
    </row>
    <row r="108" spans="1:52" ht="15" hidden="1" customHeight="1">
      <c r="A108" s="706" t="s">
        <v>1148</v>
      </c>
      <c r="B108" s="706">
        <v>2025</v>
      </c>
      <c r="C108" s="706" t="s">
        <v>1398</v>
      </c>
      <c r="D108" s="706" t="s">
        <v>1399</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G0612</v>
      </c>
      <c r="AK108" s="905" t="str">
        <f t="shared" si="7"/>
        <v>AUTRES FOURNITURES-USAG</v>
      </c>
      <c r="AL108" s="905">
        <f>IFERROR(INDEX(G108:R108,1,MATCH(Parametres!$B$3,G$1:R$1,0)-1)*IF(OR(F108="L",F108="S",F108="I"),-1,1),"")</f>
        <v>1172.51</v>
      </c>
      <c r="AM108" s="905">
        <f t="shared" si="8"/>
        <v>108.83999999999992</v>
      </c>
      <c r="AN108" s="905">
        <f>INDEX(G108:R108,1,MATCH(Parametres!$B$3,G$1:R$1,0))*IF(OR(F108="L",F108="S",F108="I"),-1,1)</f>
        <v>1281.3499999999999</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9"/>
        <v>G0612</v>
      </c>
      <c r="AU108" s="488" t="str">
        <f t="shared" si="10"/>
        <v>AUTRES FOURNITURES-USAG</v>
      </c>
      <c r="AV108" s="899">
        <f>IFERROR(INDEX(V108:AG108,1,MATCH(Parametres!$B$3,V$1:AG$1,0)-1)*IF(OR(C108="L",C108="S",C108="I"),-1,1),"")</f>
        <v>0</v>
      </c>
      <c r="AW108" s="899">
        <f t="shared" si="11"/>
        <v>0</v>
      </c>
      <c r="AX108" s="899">
        <f>INDEX(V108:AG108,1,MATCH(Parametres!$B$3,V$1:AG$1,0))*IF(OR(C108="L",C108="S",C108="I"),-1,1)</f>
        <v>0</v>
      </c>
      <c r="AY108" s="487" t="s">
        <v>337</v>
      </c>
      <c r="AZ108" s="487">
        <f>+VLOOKUP($AJ108,Data_Validation!$A:$E,5,0)</f>
        <v>0</v>
      </c>
    </row>
    <row r="109" spans="1:52" ht="15.75" hidden="1" customHeight="1">
      <c r="A109" s="706" t="s">
        <v>1148</v>
      </c>
      <c r="B109" s="706">
        <v>2025</v>
      </c>
      <c r="C109" s="706" t="s">
        <v>1400</v>
      </c>
      <c r="D109" s="706" t="s">
        <v>1401</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G0613</v>
      </c>
      <c r="AK109" s="905" t="str">
        <f t="shared" si="7"/>
        <v>AUTRES FOURNITURES U.S.A</v>
      </c>
      <c r="AL109" s="905">
        <f>IFERROR(INDEX(G109:R109,1,MATCH(Parametres!$B$3,G$1:R$1,0)-1)*IF(OR(F109="L",F109="S",F109="I"),-1,1),"")</f>
        <v>0</v>
      </c>
      <c r="AM109" s="905">
        <f t="shared" si="8"/>
        <v>0</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9"/>
        <v>G0613</v>
      </c>
      <c r="AU109" s="488" t="str">
        <f t="shared" si="10"/>
        <v>AUTRES FOURNITURES U.S.A</v>
      </c>
      <c r="AV109" s="899">
        <f>IFERROR(INDEX(V109:AG109,1,MATCH(Parametres!$B$3,V$1:AG$1,0)-1)*IF(OR(C109="L",C109="S",C109="I"),-1,1),"")</f>
        <v>0</v>
      </c>
      <c r="AW109" s="899">
        <f t="shared" si="11"/>
        <v>0</v>
      </c>
      <c r="AX109" s="899">
        <f>INDEX(V109:AG109,1,MATCH(Parametres!$B$3,V$1:AG$1,0))*IF(OR(C109="L",C109="S",C109="I"),-1,1)</f>
        <v>0</v>
      </c>
      <c r="AY109" s="487" t="s">
        <v>337</v>
      </c>
      <c r="AZ109" s="487">
        <f>+VLOOKUP($AJ109,Data_Validation!$A:$E,5,0)</f>
        <v>0</v>
      </c>
    </row>
    <row r="110" spans="1:52" ht="15" hidden="1" customHeight="1">
      <c r="A110" s="706" t="s">
        <v>1148</v>
      </c>
      <c r="B110" s="706">
        <v>2025</v>
      </c>
      <c r="C110" s="706" t="s">
        <v>1402</v>
      </c>
      <c r="D110" s="706" t="s">
        <v>1403</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G0614</v>
      </c>
      <c r="AK110" s="905" t="str">
        <f t="shared" si="7"/>
        <v>AUTRES FOURNITURES SERV.</v>
      </c>
      <c r="AL110" s="905">
        <f>IFERROR(INDEX(G110:R110,1,MATCH(Parametres!$B$3,G$1:R$1,0)-1)*IF(OR(F110="L",F110="S",F110="I"),-1,1),"")</f>
        <v>38536.49</v>
      </c>
      <c r="AM110" s="905">
        <f t="shared" si="8"/>
        <v>6297.5600000000049</v>
      </c>
      <c r="AN110" s="905">
        <f>INDEX(G110:R110,1,MATCH(Parametres!$B$3,G$1:R$1,0))*IF(OR(F110="L",F110="S",F110="I"),-1,1)</f>
        <v>44834.05</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9"/>
        <v>G0614</v>
      </c>
      <c r="AU110" s="488" t="str">
        <f t="shared" si="10"/>
        <v>AUTRES FOURNITURES SERV.</v>
      </c>
      <c r="AV110" s="899">
        <f>IFERROR(INDEX(V110:AG110,1,MATCH(Parametres!$B$3,V$1:AG$1,0)-1)*IF(OR(C110="L",C110="S",C110="I"),-1,1),"")</f>
        <v>0</v>
      </c>
      <c r="AW110" s="899">
        <f t="shared" si="11"/>
        <v>0</v>
      </c>
      <c r="AX110" s="899">
        <f>INDEX(V110:AG110,1,MATCH(Parametres!$B$3,V$1:AG$1,0))*IF(OR(C110="L",C110="S",C110="I"),-1,1)</f>
        <v>0</v>
      </c>
      <c r="AY110" s="487" t="s">
        <v>337</v>
      </c>
      <c r="AZ110" s="487">
        <f>+VLOOKUP($AJ110,Data_Validation!$A:$E,5,0)</f>
        <v>0</v>
      </c>
    </row>
    <row r="111" spans="1:52" ht="15" hidden="1" customHeight="1">
      <c r="A111" s="706" t="s">
        <v>1148</v>
      </c>
      <c r="B111" s="706">
        <v>2025</v>
      </c>
      <c r="C111" s="706" t="s">
        <v>1404</v>
      </c>
      <c r="D111" s="706" t="s">
        <v>1405</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G0615</v>
      </c>
      <c r="AK111" s="905" t="str">
        <f t="shared" si="7"/>
        <v>AUTRES FOURNITURES-CARR.</v>
      </c>
      <c r="AL111" s="905">
        <f>IFERROR(INDEX(G111:R111,1,MATCH(Parametres!$B$3,G$1:R$1,0)-1)*IF(OR(F111="L",F111="S",F111="I"),-1,1),"")</f>
        <v>32506.39</v>
      </c>
      <c r="AM111" s="905">
        <f t="shared" si="8"/>
        <v>6675.25</v>
      </c>
      <c r="AN111" s="905">
        <f>INDEX(G111:R111,1,MATCH(Parametres!$B$3,G$1:R$1,0))*IF(OR(F111="L",F111="S",F111="I"),-1,1)</f>
        <v>39181.64</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9"/>
        <v>G0615</v>
      </c>
      <c r="AU111" s="488" t="str">
        <f t="shared" si="10"/>
        <v>AUTRES FOURNITURES-CARR.</v>
      </c>
      <c r="AV111" s="899">
        <f>IFERROR(INDEX(V111:AG111,1,MATCH(Parametres!$B$3,V$1:AG$1,0)-1)*IF(OR(C111="L",C111="S",C111="I"),-1,1),"")</f>
        <v>0</v>
      </c>
      <c r="AW111" s="899">
        <f t="shared" si="11"/>
        <v>0</v>
      </c>
      <c r="AX111" s="899">
        <f>INDEX(V111:AG111,1,MATCH(Parametres!$B$3,V$1:AG$1,0))*IF(OR(C111="L",C111="S",C111="I"),-1,1)</f>
        <v>0</v>
      </c>
      <c r="AY111" s="487" t="s">
        <v>337</v>
      </c>
      <c r="AZ111" s="487">
        <f>+VLOOKUP($AJ111,Data_Validation!$A:$E,5,0)</f>
        <v>0</v>
      </c>
    </row>
    <row r="112" spans="1:52" ht="15" hidden="1" customHeight="1">
      <c r="A112" s="706" t="s">
        <v>1148</v>
      </c>
      <c r="B112" s="706">
        <v>2025</v>
      </c>
      <c r="C112" s="706" t="s">
        <v>1406</v>
      </c>
      <c r="D112" s="706" t="s">
        <v>1407</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G0616</v>
      </c>
      <c r="AK112" s="905" t="str">
        <f t="shared" si="7"/>
        <v>AUTRES FOURNITURES-PCES</v>
      </c>
      <c r="AL112" s="905">
        <f>IFERROR(INDEX(G112:R112,1,MATCH(Parametres!$B$3,G$1:R$1,0)-1)*IF(OR(F112="L",F112="S",F112="I"),-1,1),"")</f>
        <v>1055.05</v>
      </c>
      <c r="AM112" s="905">
        <f t="shared" si="8"/>
        <v>440.75</v>
      </c>
      <c r="AN112" s="905">
        <f>INDEX(G112:R112,1,MATCH(Parametres!$B$3,G$1:R$1,0))*IF(OR(F112="L",F112="S",F112="I"),-1,1)</f>
        <v>1495.8</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9"/>
        <v>G0616</v>
      </c>
      <c r="AU112" s="488" t="str">
        <f t="shared" si="10"/>
        <v>AUTRES FOURNITURES-PCES</v>
      </c>
      <c r="AV112" s="899">
        <f>IFERROR(INDEX(V112:AG112,1,MATCH(Parametres!$B$3,V$1:AG$1,0)-1)*IF(OR(C112="L",C112="S",C112="I"),-1,1),"")</f>
        <v>0</v>
      </c>
      <c r="AW112" s="899">
        <f t="shared" si="11"/>
        <v>0</v>
      </c>
      <c r="AX112" s="899">
        <f>INDEX(V112:AG112,1,MATCH(Parametres!$B$3,V$1:AG$1,0))*IF(OR(C112="L",C112="S",C112="I"),-1,1)</f>
        <v>0</v>
      </c>
      <c r="AY112" s="487" t="s">
        <v>337</v>
      </c>
      <c r="AZ112" s="487">
        <f>+VLOOKUP($AJ112,Data_Validation!$A:$E,5,0)</f>
        <v>0</v>
      </c>
    </row>
    <row r="113" spans="1:52" ht="15.75" hidden="1" customHeight="1">
      <c r="A113" s="706" t="s">
        <v>1148</v>
      </c>
      <c r="B113" s="706">
        <v>2025</v>
      </c>
      <c r="C113" s="706" t="s">
        <v>1408</v>
      </c>
      <c r="D113" s="706" t="s">
        <v>1409</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G0624</v>
      </c>
      <c r="AK113" s="905" t="str">
        <f t="shared" si="7"/>
        <v>PETIT OUTILLAGE</v>
      </c>
      <c r="AL113" s="905">
        <f>IFERROR(INDEX(G113:R113,1,MATCH(Parametres!$B$3,G$1:R$1,0)-1)*IF(OR(F113="L",F113="S",F113="I"),-1,1),"")</f>
        <v>0</v>
      </c>
      <c r="AM113" s="905">
        <f t="shared" si="8"/>
        <v>0</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9"/>
        <v>G0624</v>
      </c>
      <c r="AU113" s="488" t="str">
        <f t="shared" si="10"/>
        <v>PETIT OUTILLAGE</v>
      </c>
      <c r="AV113" s="899">
        <f>IFERROR(INDEX(V113:AG113,1,MATCH(Parametres!$B$3,V$1:AG$1,0)-1)*IF(OR(C113="L",C113="S",C113="I"),-1,1),"")</f>
        <v>0</v>
      </c>
      <c r="AW113" s="899">
        <f t="shared" si="11"/>
        <v>0</v>
      </c>
      <c r="AX113" s="899">
        <f>INDEX(V113:AG113,1,MATCH(Parametres!$B$3,V$1:AG$1,0))*IF(OR(C113="L",C113="S",C113="I"),-1,1)</f>
        <v>0</v>
      </c>
      <c r="AY113" s="487" t="s">
        <v>337</v>
      </c>
      <c r="AZ113" s="487">
        <f>+VLOOKUP($AJ113,Data_Validation!$A:$E,5,0)</f>
        <v>0</v>
      </c>
    </row>
    <row r="114" spans="1:52" ht="15" customHeight="1">
      <c r="A114" s="706" t="s">
        <v>1148</v>
      </c>
      <c r="B114" s="706">
        <v>2025</v>
      </c>
      <c r="C114" s="706" t="s">
        <v>1410</v>
      </c>
      <c r="D114" s="706" t="s">
        <v>1411</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G0630</v>
      </c>
      <c r="AK114" s="905" t="str">
        <f t="shared" si="7"/>
        <v>COMMERCE ELECTRON. REP</v>
      </c>
      <c r="AL114" s="905">
        <f>IFERROR(INDEX(G114:R114,1,MATCH(Parametres!$B$3,G$1:R$1,0)-1)*IF(OR(F114="L",F114="S",F114="I"),-1,1),"")</f>
        <v>0</v>
      </c>
      <c r="AM114" s="905">
        <f t="shared" si="8"/>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9"/>
        <v>G0630</v>
      </c>
      <c r="AU114" s="488" t="str">
        <f t="shared" si="10"/>
        <v>COMMERCE ELECTRON. REP</v>
      </c>
      <c r="AV114" s="899">
        <f>IFERROR(INDEX(V114:AG114,1,MATCH(Parametres!$B$3,V$1:AG$1,0)-1)*IF(OR(C114="L",C114="S",C114="I"),-1,1),"")</f>
        <v>0</v>
      </c>
      <c r="AW114" s="899">
        <f t="shared" si="11"/>
        <v>0</v>
      </c>
      <c r="AX114" s="899">
        <f>INDEX(V114:AG114,1,MATCH(Parametres!$B$3,V$1:AG$1,0))*IF(OR(C114="L",C114="S",C114="I"),-1,1)</f>
        <v>0</v>
      </c>
      <c r="AY114" s="487" t="s">
        <v>337</v>
      </c>
      <c r="AZ114" s="487" t="e">
        <f>+VLOOKUP($AJ114,Data_Validation!$A:$E,5,0)</f>
        <v>#N/A</v>
      </c>
    </row>
    <row r="115" spans="1:52" ht="15" hidden="1" customHeight="1">
      <c r="A115" s="706" t="s">
        <v>1148</v>
      </c>
      <c r="B115" s="706">
        <v>2025</v>
      </c>
      <c r="C115" s="706" t="s">
        <v>1412</v>
      </c>
      <c r="D115" s="706" t="s">
        <v>1413</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G0631</v>
      </c>
      <c r="AK115" s="905" t="str">
        <f t="shared" si="7"/>
        <v>COMMERCE ELECTRONIQUE-PUB</v>
      </c>
      <c r="AL115" s="905">
        <f>IFERROR(INDEX(G115:R115,1,MATCH(Parametres!$B$3,G$1:R$1,0)-1)*IF(OR(F115="L",F115="S",F115="I"),-1,1),"")</f>
        <v>9975.93</v>
      </c>
      <c r="AM115" s="905">
        <f t="shared" si="8"/>
        <v>3625.5</v>
      </c>
      <c r="AN115" s="905">
        <f>INDEX(G115:R115,1,MATCH(Parametres!$B$3,G$1:R$1,0))*IF(OR(F115="L",F115="S",F115="I"),-1,1)</f>
        <v>13601.43</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9"/>
        <v>G0631</v>
      </c>
      <c r="AU115" s="488" t="str">
        <f t="shared" si="10"/>
        <v>COMMERCE ELECTRONIQUE-PUB</v>
      </c>
      <c r="AV115" s="899">
        <f>IFERROR(INDEX(V115:AG115,1,MATCH(Parametres!$B$3,V$1:AG$1,0)-1)*IF(OR(C115="L",C115="S",C115="I"),-1,1),"")</f>
        <v>0</v>
      </c>
      <c r="AW115" s="899">
        <f t="shared" si="11"/>
        <v>0</v>
      </c>
      <c r="AX115" s="899">
        <f>INDEX(V115:AG115,1,MATCH(Parametres!$B$3,V$1:AG$1,0))*IF(OR(C115="L",C115="S",C115="I"),-1,1)</f>
        <v>0</v>
      </c>
      <c r="AY115" s="487" t="s">
        <v>337</v>
      </c>
      <c r="AZ115" s="487">
        <f>+VLOOKUP($AJ115,Data_Validation!$A:$E,5,0)</f>
        <v>0</v>
      </c>
    </row>
    <row r="116" spans="1:52" ht="15" hidden="1" customHeight="1">
      <c r="A116" s="706" t="s">
        <v>1148</v>
      </c>
      <c r="B116" s="706">
        <v>2025</v>
      </c>
      <c r="C116" s="706" t="s">
        <v>1414</v>
      </c>
      <c r="D116" s="706" t="s">
        <v>1413</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G0632</v>
      </c>
      <c r="AK116" s="905" t="str">
        <f t="shared" si="7"/>
        <v>COMMERCE ELECTRONIQUE-PUB</v>
      </c>
      <c r="AL116" s="905">
        <f>IFERROR(INDEX(G116:R116,1,MATCH(Parametres!$B$3,G$1:R$1,0)-1)*IF(OR(F116="L",F116="S",F116="I"),-1,1),"")</f>
        <v>178.2</v>
      </c>
      <c r="AM116" s="905">
        <f t="shared" si="8"/>
        <v>740.77</v>
      </c>
      <c r="AN116" s="905">
        <f>INDEX(G116:R116,1,MATCH(Parametres!$B$3,G$1:R$1,0))*IF(OR(F116="L",F116="S",F116="I"),-1,1)</f>
        <v>918.97</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9"/>
        <v>G0632</v>
      </c>
      <c r="AU116" s="488" t="str">
        <f t="shared" si="10"/>
        <v>COMMERCE ELECTRONIQUE-PUB</v>
      </c>
      <c r="AV116" s="899">
        <f>IFERROR(INDEX(V116:AG116,1,MATCH(Parametres!$B$3,V$1:AG$1,0)-1)*IF(OR(C116="L",C116="S",C116="I"),-1,1),"")</f>
        <v>0</v>
      </c>
      <c r="AW116" s="899">
        <f t="shared" si="11"/>
        <v>0</v>
      </c>
      <c r="AX116" s="899">
        <f>INDEX(V116:AG116,1,MATCH(Parametres!$B$3,V$1:AG$1,0))*IF(OR(C116="L",C116="S",C116="I"),-1,1)</f>
        <v>0</v>
      </c>
      <c r="AY116" s="487" t="s">
        <v>337</v>
      </c>
      <c r="AZ116" s="487">
        <f>+VLOOKUP($AJ116,Data_Validation!$A:$E,5,0)</f>
        <v>0</v>
      </c>
    </row>
    <row r="117" spans="1:52" ht="15.75" hidden="1" customHeight="1">
      <c r="A117" s="706" t="s">
        <v>1148</v>
      </c>
      <c r="B117" s="706">
        <v>2025</v>
      </c>
      <c r="C117" s="706" t="s">
        <v>1415</v>
      </c>
      <c r="D117" s="706" t="s">
        <v>1416</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G0633</v>
      </c>
      <c r="AK117" s="905" t="str">
        <f t="shared" si="7"/>
        <v>COMMERCE ELECTRONIQ U.S.A</v>
      </c>
      <c r="AL117" s="905">
        <f>IFERROR(INDEX(G117:R117,1,MATCH(Parametres!$B$3,G$1:R$1,0)-1)*IF(OR(F117="L",F117="S",F117="I"),-1,1),"")</f>
        <v>0</v>
      </c>
      <c r="AM117" s="905">
        <f t="shared" si="8"/>
        <v>0</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9"/>
        <v>G0633</v>
      </c>
      <c r="AU117" s="488" t="str">
        <f t="shared" si="10"/>
        <v>COMMERCE ELECTRONIQ U.S.A</v>
      </c>
      <c r="AV117" s="899">
        <f>IFERROR(INDEX(V117:AG117,1,MATCH(Parametres!$B$3,V$1:AG$1,0)-1)*IF(OR(C117="L",C117="S",C117="I"),-1,1),"")</f>
        <v>0</v>
      </c>
      <c r="AW117" s="899">
        <f t="shared" si="11"/>
        <v>0</v>
      </c>
      <c r="AX117" s="899">
        <f>INDEX(V117:AG117,1,MATCH(Parametres!$B$3,V$1:AG$1,0))*IF(OR(C117="L",C117="S",C117="I"),-1,1)</f>
        <v>0</v>
      </c>
      <c r="AY117" s="487" t="s">
        <v>337</v>
      </c>
      <c r="AZ117" s="487">
        <f>+VLOOKUP($AJ117,Data_Validation!$A:$E,5,0)</f>
        <v>0</v>
      </c>
    </row>
    <row r="118" spans="1:52" ht="15" hidden="1" customHeight="1">
      <c r="A118" s="706" t="s">
        <v>1148</v>
      </c>
      <c r="B118" s="706">
        <v>2025</v>
      </c>
      <c r="C118" s="706" t="s">
        <v>1417</v>
      </c>
      <c r="D118" s="706" t="s">
        <v>1413</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G0634</v>
      </c>
      <c r="AK118" s="905" t="str">
        <f t="shared" si="7"/>
        <v>COMMERCE ELECTRONIQUE-PUB</v>
      </c>
      <c r="AL118" s="905">
        <f>IFERROR(INDEX(G118:R118,1,MATCH(Parametres!$B$3,G$1:R$1,0)-1)*IF(OR(F118="L",F118="S",F118="I"),-1,1),"")</f>
        <v>9396.6</v>
      </c>
      <c r="AM118" s="905">
        <f t="shared" si="8"/>
        <v>1403.1900000000005</v>
      </c>
      <c r="AN118" s="905">
        <f>INDEX(G118:R118,1,MATCH(Parametres!$B$3,G$1:R$1,0))*IF(OR(F118="L",F118="S",F118="I"),-1,1)</f>
        <v>10799.79</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9"/>
        <v>G0634</v>
      </c>
      <c r="AU118" s="488" t="str">
        <f t="shared" si="10"/>
        <v>COMMERCE ELECTRONIQUE-PUB</v>
      </c>
      <c r="AV118" s="899">
        <f>IFERROR(INDEX(V118:AG118,1,MATCH(Parametres!$B$3,V$1:AG$1,0)-1)*IF(OR(C118="L",C118="S",C118="I"),-1,1),"")</f>
        <v>0</v>
      </c>
      <c r="AW118" s="899">
        <f t="shared" si="11"/>
        <v>0</v>
      </c>
      <c r="AX118" s="899">
        <f>INDEX(V118:AG118,1,MATCH(Parametres!$B$3,V$1:AG$1,0))*IF(OR(C118="L",C118="S",C118="I"),-1,1)</f>
        <v>0</v>
      </c>
      <c r="AY118" s="487" t="s">
        <v>337</v>
      </c>
      <c r="AZ118" s="487">
        <f>+VLOOKUP($AJ118,Data_Validation!$A:$E,5,0)</f>
        <v>0</v>
      </c>
    </row>
    <row r="119" spans="1:52" ht="15" hidden="1" customHeight="1">
      <c r="A119" s="706" t="s">
        <v>1148</v>
      </c>
      <c r="B119" s="706">
        <v>2025</v>
      </c>
      <c r="C119" s="706" t="s">
        <v>1418</v>
      </c>
      <c r="D119" s="706" t="s">
        <v>1413</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G0635</v>
      </c>
      <c r="AK119" s="905" t="str">
        <f t="shared" si="7"/>
        <v>COMMERCE ELECTRONIQUE-PUB</v>
      </c>
      <c r="AL119" s="905">
        <f>IFERROR(INDEX(G119:R119,1,MATCH(Parametres!$B$3,G$1:R$1,0)-1)*IF(OR(F119="L",F119="S",F119="I"),-1,1),"")</f>
        <v>44.55</v>
      </c>
      <c r="AM119" s="905">
        <f t="shared" si="8"/>
        <v>185.19</v>
      </c>
      <c r="AN119" s="905">
        <f>INDEX(G119:R119,1,MATCH(Parametres!$B$3,G$1:R$1,0))*IF(OR(F119="L",F119="S",F119="I"),-1,1)</f>
        <v>229.74</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9"/>
        <v>G0635</v>
      </c>
      <c r="AU119" s="488" t="str">
        <f t="shared" si="10"/>
        <v>COMMERCE ELECTRONIQUE-PUB</v>
      </c>
      <c r="AV119" s="899">
        <f>IFERROR(INDEX(V119:AG119,1,MATCH(Parametres!$B$3,V$1:AG$1,0)-1)*IF(OR(C119="L",C119="S",C119="I"),-1,1),"")</f>
        <v>0</v>
      </c>
      <c r="AW119" s="899">
        <f t="shared" si="11"/>
        <v>0</v>
      </c>
      <c r="AX119" s="899">
        <f>INDEX(V119:AG119,1,MATCH(Parametres!$B$3,V$1:AG$1,0))*IF(OR(C119="L",C119="S",C119="I"),-1,1)</f>
        <v>0</v>
      </c>
      <c r="AY119" s="487" t="s">
        <v>337</v>
      </c>
      <c r="AZ119" s="487">
        <f>+VLOOKUP($AJ119,Data_Validation!$A:$E,5,0)</f>
        <v>0</v>
      </c>
    </row>
    <row r="120" spans="1:52" ht="15" hidden="1" customHeight="1">
      <c r="A120" s="706" t="s">
        <v>1148</v>
      </c>
      <c r="B120" s="706">
        <v>2025</v>
      </c>
      <c r="C120" s="706" t="s">
        <v>1419</v>
      </c>
      <c r="D120" s="706" t="s">
        <v>1413</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G0636</v>
      </c>
      <c r="AK120" s="905" t="str">
        <f t="shared" si="7"/>
        <v>COMMERCE ELECTRONIQUE-PUB</v>
      </c>
      <c r="AL120" s="905">
        <f>IFERROR(INDEX(G120:R120,1,MATCH(Parametres!$B$3,G$1:R$1,0)-1)*IF(OR(F120="L",F120="S",F120="I"),-1,1),"")</f>
        <v>9396.56</v>
      </c>
      <c r="AM120" s="905">
        <f t="shared" si="8"/>
        <v>1403.1900000000005</v>
      </c>
      <c r="AN120" s="905">
        <f>INDEX(G120:R120,1,MATCH(Parametres!$B$3,G$1:R$1,0))*IF(OR(F120="L",F120="S",F120="I"),-1,1)</f>
        <v>10799.75</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9"/>
        <v>G0636</v>
      </c>
      <c r="AU120" s="488" t="str">
        <f t="shared" si="10"/>
        <v>COMMERCE ELECTRONIQUE-PUB</v>
      </c>
      <c r="AV120" s="899">
        <f>IFERROR(INDEX(V120:AG120,1,MATCH(Parametres!$B$3,V$1:AG$1,0)-1)*IF(OR(C120="L",C120="S",C120="I"),-1,1),"")</f>
        <v>0</v>
      </c>
      <c r="AW120" s="899">
        <f t="shared" si="11"/>
        <v>0</v>
      </c>
      <c r="AX120" s="899">
        <f>INDEX(V120:AG120,1,MATCH(Parametres!$B$3,V$1:AG$1,0))*IF(OR(C120="L",C120="S",C120="I"),-1,1)</f>
        <v>0</v>
      </c>
      <c r="AY120" s="487" t="s">
        <v>337</v>
      </c>
      <c r="AZ120" s="487">
        <f>+VLOOKUP($AJ120,Data_Validation!$A:$E,5,0)</f>
        <v>0</v>
      </c>
    </row>
    <row r="121" spans="1:52" ht="15" hidden="1" customHeight="1">
      <c r="A121" s="706" t="s">
        <v>1148</v>
      </c>
      <c r="B121" s="706">
        <v>2025</v>
      </c>
      <c r="C121" s="706" t="s">
        <v>1420</v>
      </c>
      <c r="D121" s="706" t="s">
        <v>1421</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G0641</v>
      </c>
      <c r="AK121" s="905" t="str">
        <f t="shared" si="7"/>
        <v>RISTOURNES DE PUBLICITE</v>
      </c>
      <c r="AL121" s="905">
        <f>IFERROR(INDEX(G121:R121,1,MATCH(Parametres!$B$3,G$1:R$1,0)-1)*IF(OR(F121="L",F121="S",F121="I"),-1,1),"")</f>
        <v>-359484</v>
      </c>
      <c r="AM121" s="905">
        <f t="shared" si="8"/>
        <v>0</v>
      </c>
      <c r="AN121" s="905">
        <f>INDEX(G121:R121,1,MATCH(Parametres!$B$3,G$1:R$1,0))*IF(OR(F121="L",F121="S",F121="I"),-1,1)</f>
        <v>-359484</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9"/>
        <v>G0641</v>
      </c>
      <c r="AU121" s="488" t="str">
        <f t="shared" si="10"/>
        <v>RISTOURNES DE PUBLICITE</v>
      </c>
      <c r="AV121" s="899">
        <f>IFERROR(INDEX(V121:AG121,1,MATCH(Parametres!$B$3,V$1:AG$1,0)-1)*IF(OR(C121="L",C121="S",C121="I"),-1,1),"")</f>
        <v>0</v>
      </c>
      <c r="AW121" s="899">
        <f t="shared" si="11"/>
        <v>0</v>
      </c>
      <c r="AX121" s="899">
        <f>INDEX(V121:AG121,1,MATCH(Parametres!$B$3,V$1:AG$1,0))*IF(OR(C121="L",C121="S",C121="I"),-1,1)</f>
        <v>0</v>
      </c>
      <c r="AY121" s="487" t="s">
        <v>337</v>
      </c>
      <c r="AZ121" s="487">
        <f>+VLOOKUP($AJ121,Data_Validation!$A:$E,5,0)</f>
        <v>0</v>
      </c>
    </row>
    <row r="122" spans="1:52" ht="15" hidden="1" customHeight="1">
      <c r="A122" s="706" t="s">
        <v>1148</v>
      </c>
      <c r="B122" s="706">
        <v>2025</v>
      </c>
      <c r="C122" s="706" t="s">
        <v>1422</v>
      </c>
      <c r="D122" s="706" t="s">
        <v>1421</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G0642</v>
      </c>
      <c r="AK122" s="905" t="str">
        <f t="shared" si="7"/>
        <v>RISTOURNES DE PUBLICITE</v>
      </c>
      <c r="AL122" s="905">
        <f>IFERROR(INDEX(G122:R122,1,MATCH(Parametres!$B$3,G$1:R$1,0)-1)*IF(OR(F122="L",F122="S",F122="I"),-1,1),"")</f>
        <v>0</v>
      </c>
      <c r="AM122" s="905">
        <f t="shared" si="8"/>
        <v>0</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9"/>
        <v>G0642</v>
      </c>
      <c r="AU122" s="488" t="str">
        <f t="shared" si="10"/>
        <v>RISTOURNES DE PUBLICITE</v>
      </c>
      <c r="AV122" s="899">
        <f>IFERROR(INDEX(V122:AG122,1,MATCH(Parametres!$B$3,V$1:AG$1,0)-1)*IF(OR(C122="L",C122="S",C122="I"),-1,1),"")</f>
        <v>0</v>
      </c>
      <c r="AW122" s="899">
        <f t="shared" si="11"/>
        <v>0</v>
      </c>
      <c r="AX122" s="899">
        <f>INDEX(V122:AG122,1,MATCH(Parametres!$B$3,V$1:AG$1,0))*IF(OR(C122="L",C122="S",C122="I"),-1,1)</f>
        <v>0</v>
      </c>
      <c r="AY122" s="487" t="s">
        <v>337</v>
      </c>
      <c r="AZ122" s="487">
        <f>+VLOOKUP($AJ122,Data_Validation!$A:$E,5,0)</f>
        <v>0</v>
      </c>
    </row>
    <row r="123" spans="1:52" ht="15.75" hidden="1" customHeight="1">
      <c r="A123" s="706" t="s">
        <v>1148</v>
      </c>
      <c r="B123" s="706">
        <v>2025</v>
      </c>
      <c r="C123" s="706" t="s">
        <v>1423</v>
      </c>
      <c r="D123" s="706" t="s">
        <v>1421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G0644</v>
      </c>
      <c r="AK123" s="905" t="str">
        <f t="shared" si="7"/>
        <v>RISTOURNES DE PUBLICITE</v>
      </c>
      <c r="AL123" s="905">
        <f>IFERROR(INDEX(G123:R123,1,MATCH(Parametres!$B$3,G$1:R$1,0)-1)*IF(OR(F123="L",F123="S",F123="I"),-1,1),"")</f>
        <v>0</v>
      </c>
      <c r="AM123" s="905">
        <f t="shared" si="8"/>
        <v>0</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9"/>
        <v>G0644</v>
      </c>
      <c r="AU123" s="488" t="str">
        <f t="shared" si="10"/>
        <v>RISTOURNES DE PUBLICITE</v>
      </c>
      <c r="AV123" s="899">
        <f>IFERROR(INDEX(V123:AG123,1,MATCH(Parametres!$B$3,V$1:AG$1,0)-1)*IF(OR(C123="L",C123="S",C123="I"),-1,1),"")</f>
        <v>0</v>
      </c>
      <c r="AW123" s="899">
        <f t="shared" si="11"/>
        <v>0</v>
      </c>
      <c r="AX123" s="899">
        <f>INDEX(V123:AG123,1,MATCH(Parametres!$B$3,V$1:AG$1,0))*IF(OR(C123="L",C123="S",C123="I"),-1,1)</f>
        <v>0</v>
      </c>
      <c r="AY123" s="487" t="s">
        <v>337</v>
      </c>
      <c r="AZ123" s="487">
        <f>+VLOOKUP($AJ123,Data_Validation!$A:$E,5,0)</f>
        <v>0</v>
      </c>
    </row>
    <row r="124" spans="1:52" ht="15" hidden="1" customHeight="1">
      <c r="A124" s="706" t="s">
        <v>1148</v>
      </c>
      <c r="B124" s="706">
        <v>2025</v>
      </c>
      <c r="C124" s="706" t="s">
        <v>1424</v>
      </c>
      <c r="D124" s="706" t="s">
        <v>1425</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G0645</v>
      </c>
      <c r="AK124" s="905" t="str">
        <f t="shared" si="7"/>
        <v>RABAIS PUBLICITE-SERVIC</v>
      </c>
      <c r="AL124" s="905">
        <f>IFERROR(INDEX(G124:R124,1,MATCH(Parametres!$B$3,G$1:R$1,0)-1)*IF(OR(F124="L",F124="S",F124="I"),-1,1),"")</f>
        <v>0</v>
      </c>
      <c r="AM124" s="905">
        <f t="shared" si="8"/>
        <v>0</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9"/>
        <v>G0645</v>
      </c>
      <c r="AU124" s="488" t="str">
        <f t="shared" si="10"/>
        <v>RABAIS PUBLICITE-SERVIC</v>
      </c>
      <c r="AV124" s="899">
        <f>IFERROR(INDEX(V124:AG124,1,MATCH(Parametres!$B$3,V$1:AG$1,0)-1)*IF(OR(C124="L",C124="S",C124="I"),-1,1),"")</f>
        <v>0</v>
      </c>
      <c r="AW124" s="899">
        <f t="shared" si="11"/>
        <v>0</v>
      </c>
      <c r="AX124" s="899">
        <f>INDEX(V124:AG124,1,MATCH(Parametres!$B$3,V$1:AG$1,0))*IF(OR(C124="L",C124="S",C124="I"),-1,1)</f>
        <v>0</v>
      </c>
      <c r="AY124" s="487" t="s">
        <v>337</v>
      </c>
      <c r="AZ124" s="487">
        <f>+VLOOKUP($AJ124,Data_Validation!$A:$E,5,0)</f>
        <v>0</v>
      </c>
    </row>
    <row r="125" spans="1:52" ht="15" hidden="1" customHeight="1">
      <c r="A125" s="706" t="s">
        <v>1148</v>
      </c>
      <c r="B125" s="706">
        <v>2025</v>
      </c>
      <c r="C125" s="706" t="s">
        <v>1426</v>
      </c>
      <c r="D125" s="706" t="s">
        <v>1421</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G0646</v>
      </c>
      <c r="AK125" s="905" t="str">
        <f t="shared" si="7"/>
        <v>RISTOURNES DE PUBLICITE</v>
      </c>
      <c r="AL125" s="905">
        <f>IFERROR(INDEX(G125:R125,1,MATCH(Parametres!$B$3,G$1:R$1,0)-1)*IF(OR(F125="L",F125="S",F125="I"),-1,1),"")</f>
        <v>0</v>
      </c>
      <c r="AM125" s="905">
        <f t="shared" si="8"/>
        <v>0</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9"/>
        <v>G0646</v>
      </c>
      <c r="AU125" s="488" t="str">
        <f t="shared" si="10"/>
        <v>RISTOURNES DE PUBLICITE</v>
      </c>
      <c r="AV125" s="899">
        <f>IFERROR(INDEX(V125:AG125,1,MATCH(Parametres!$B$3,V$1:AG$1,0)-1)*IF(OR(C125="L",C125="S",C125="I"),-1,1),"")</f>
        <v>0</v>
      </c>
      <c r="AW125" s="899">
        <f t="shared" si="11"/>
        <v>0</v>
      </c>
      <c r="AX125" s="899">
        <f>INDEX(V125:AG125,1,MATCH(Parametres!$B$3,V$1:AG$1,0))*IF(OR(C125="L",C125="S",C125="I"),-1,1)</f>
        <v>0</v>
      </c>
      <c r="AY125" s="487" t="s">
        <v>337</v>
      </c>
      <c r="AZ125" s="487">
        <f>+VLOOKUP($AJ125,Data_Validation!$A:$E,5,0)</f>
        <v>0</v>
      </c>
    </row>
    <row r="126" spans="1:52" ht="15" hidden="1" customHeight="1">
      <c r="A126" s="706" t="s">
        <v>1148</v>
      </c>
      <c r="B126" s="706">
        <v>2025</v>
      </c>
      <c r="C126" s="706" t="s">
        <v>1427</v>
      </c>
      <c r="D126" s="706" t="s">
        <v>1428</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G0647</v>
      </c>
      <c r="AK126" s="905" t="str">
        <f t="shared" si="7"/>
        <v>RABAIS PUBLICITE-PIECE</v>
      </c>
      <c r="AL126" s="905">
        <f>IFERROR(INDEX(G126:R126,1,MATCH(Parametres!$B$3,G$1:R$1,0)-1)*IF(OR(F126="L",F126="S",F126="I"),-1,1),"")</f>
        <v>0</v>
      </c>
      <c r="AM126" s="905">
        <f t="shared" si="8"/>
        <v>0</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9"/>
        <v>G0647</v>
      </c>
      <c r="AU126" s="488" t="str">
        <f t="shared" si="10"/>
        <v>RABAIS PUBLICITE-PIECE</v>
      </c>
      <c r="AV126" s="899">
        <f>IFERROR(INDEX(V126:AG126,1,MATCH(Parametres!$B$3,V$1:AG$1,0)-1)*IF(OR(C126="L",C126="S",C126="I"),-1,1),"")</f>
        <v>0</v>
      </c>
      <c r="AW126" s="899">
        <f t="shared" si="11"/>
        <v>0</v>
      </c>
      <c r="AX126" s="899">
        <f>INDEX(V126:AG126,1,MATCH(Parametres!$B$3,V$1:AG$1,0))*IF(OR(C126="L",C126="S",C126="I"),-1,1)</f>
        <v>0</v>
      </c>
      <c r="AY126" s="487" t="s">
        <v>337</v>
      </c>
      <c r="AZ126" s="487">
        <f>+VLOOKUP($AJ126,Data_Validation!$A:$E,5,0)</f>
        <v>0</v>
      </c>
    </row>
    <row r="127" spans="1:52" ht="15" customHeight="1">
      <c r="A127" s="706" t="s">
        <v>1148</v>
      </c>
      <c r="B127" s="706">
        <v>2025</v>
      </c>
      <c r="C127" s="706" t="s">
        <v>1429</v>
      </c>
      <c r="D127" s="706" t="s">
        <v>1430</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G0649</v>
      </c>
      <c r="AK127" s="905" t="str">
        <f t="shared" si="7"/>
        <v>RABAIS PUBLICITE-ADMIN</v>
      </c>
      <c r="AL127" s="905">
        <f>IFERROR(INDEX(G127:R127,1,MATCH(Parametres!$B$3,G$1:R$1,0)-1)*IF(OR(F127="L",F127="S",F127="I"),-1,1),"")</f>
        <v>0</v>
      </c>
      <c r="AM127" s="905">
        <f t="shared" si="8"/>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9"/>
        <v>G0649</v>
      </c>
      <c r="AU127" s="488" t="str">
        <f t="shared" si="10"/>
        <v>RABAIS PUBLICITE-ADMIN</v>
      </c>
      <c r="AV127" s="899">
        <f>IFERROR(INDEX(V127:AG127,1,MATCH(Parametres!$B$3,V$1:AG$1,0)-1)*IF(OR(C127="L",C127="S",C127="I"),-1,1),"")</f>
        <v>0</v>
      </c>
      <c r="AW127" s="899">
        <f t="shared" si="11"/>
        <v>0</v>
      </c>
      <c r="AX127" s="899">
        <f>INDEX(V127:AG127,1,MATCH(Parametres!$B$3,V$1:AG$1,0))*IF(OR(C127="L",C127="S",C127="I"),-1,1)</f>
        <v>0</v>
      </c>
      <c r="AY127" s="487" t="s">
        <v>337</v>
      </c>
      <c r="AZ127" s="487" t="e">
        <f>+VLOOKUP($AJ127,Data_Validation!$A:$E,5,0)</f>
        <v>#N/A</v>
      </c>
    </row>
    <row r="128" spans="1:52" ht="15" customHeight="1">
      <c r="A128" s="706" t="s">
        <v>1148</v>
      </c>
      <c r="B128" s="706">
        <v>2025</v>
      </c>
      <c r="C128" s="706" t="s">
        <v>1431</v>
      </c>
      <c r="D128" s="706" t="s">
        <v>3100</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G0650</v>
      </c>
      <c r="AK128" s="905" t="str">
        <f t="shared" si="7"/>
        <v>PUBLICITE REP.</v>
      </c>
      <c r="AL128" s="905">
        <f>IFERROR(INDEX(G128:R128,1,MATCH(Parametres!$B$3,G$1:R$1,0)-1)*IF(OR(F128="L",F128="S",F128="I"),-1,1),"")</f>
        <v>0</v>
      </c>
      <c r="AM128" s="905">
        <f t="shared" si="8"/>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9"/>
        <v>G0650</v>
      </c>
      <c r="AU128" s="488" t="str">
        <f t="shared" si="10"/>
        <v>PUBLICITE REP.</v>
      </c>
      <c r="AV128" s="899">
        <f>IFERROR(INDEX(V128:AG128,1,MATCH(Parametres!$B$3,V$1:AG$1,0)-1)*IF(OR(C128="L",C128="S",C128="I"),-1,1),"")</f>
        <v>0</v>
      </c>
      <c r="AW128" s="899">
        <f t="shared" si="11"/>
        <v>0</v>
      </c>
      <c r="AX128" s="899">
        <f>INDEX(V128:AG128,1,MATCH(Parametres!$B$3,V$1:AG$1,0))*IF(OR(C128="L",C128="S",C128="I"),-1,1)</f>
        <v>0</v>
      </c>
      <c r="AY128" s="487" t="s">
        <v>337</v>
      </c>
      <c r="AZ128" s="487" t="e">
        <f>+VLOOKUP($AJ128,Data_Validation!$A:$E,5,0)</f>
        <v>#N/A</v>
      </c>
    </row>
    <row r="129" spans="1:52" ht="15" hidden="1" customHeight="1">
      <c r="A129" s="706" t="s">
        <v>1148</v>
      </c>
      <c r="B129" s="706">
        <v>2025</v>
      </c>
      <c r="C129" s="706" t="s">
        <v>1432</v>
      </c>
      <c r="D129" s="706" t="s">
        <v>1433</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G0651</v>
      </c>
      <c r="AK129" s="905" t="str">
        <f t="shared" si="7"/>
        <v>PUBLICITE-NEUFS</v>
      </c>
      <c r="AL129" s="905">
        <f>IFERROR(INDEX(G129:R129,1,MATCH(Parametres!$B$3,G$1:R$1,0)-1)*IF(OR(F129="L",F129="S",F129="I"),-1,1),"")</f>
        <v>102244.94</v>
      </c>
      <c r="AM129" s="905">
        <f t="shared" si="8"/>
        <v>17455.169999999998</v>
      </c>
      <c r="AN129" s="905">
        <f>INDEX(G129:R129,1,MATCH(Parametres!$B$3,G$1:R$1,0))*IF(OR(F129="L",F129="S",F129="I"),-1,1)</f>
        <v>119700.11</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9"/>
        <v>G0651</v>
      </c>
      <c r="AU129" s="488" t="str">
        <f t="shared" si="10"/>
        <v>PUBLICITE-NEUFS</v>
      </c>
      <c r="AV129" s="899">
        <f>IFERROR(INDEX(V129:AG129,1,MATCH(Parametres!$B$3,V$1:AG$1,0)-1)*IF(OR(C129="L",C129="S",C129="I"),-1,1),"")</f>
        <v>0</v>
      </c>
      <c r="AW129" s="899">
        <f t="shared" si="11"/>
        <v>0</v>
      </c>
      <c r="AX129" s="899">
        <f>INDEX(V129:AG129,1,MATCH(Parametres!$B$3,V$1:AG$1,0))*IF(OR(C129="L",C129="S",C129="I"),-1,1)</f>
        <v>0</v>
      </c>
      <c r="AY129" s="487" t="s">
        <v>337</v>
      </c>
      <c r="AZ129" s="487">
        <f>+VLOOKUP($AJ129,Data_Validation!$A:$E,5,0)</f>
        <v>0</v>
      </c>
    </row>
    <row r="130" spans="1:52" ht="15" hidden="1" customHeight="1">
      <c r="A130" s="706" t="s">
        <v>1148</v>
      </c>
      <c r="B130" s="706">
        <v>2025</v>
      </c>
      <c r="C130" s="706" t="s">
        <v>1434</v>
      </c>
      <c r="D130" s="706" t="s">
        <v>1435</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G0652</v>
      </c>
      <c r="AK130" s="905" t="str">
        <f t="shared" si="7"/>
        <v>PUBLICITE-USAGE</v>
      </c>
      <c r="AL130" s="905">
        <f>IFERROR(INDEX(G130:R130,1,MATCH(Parametres!$B$3,G$1:R$1,0)-1)*IF(OR(F130="L",F130="S",F130="I"),-1,1),"")</f>
        <v>38313.11</v>
      </c>
      <c r="AM130" s="905">
        <f t="shared" si="8"/>
        <v>4452.5999999999985</v>
      </c>
      <c r="AN130" s="905">
        <f>INDEX(G130:R130,1,MATCH(Parametres!$B$3,G$1:R$1,0))*IF(OR(F130="L",F130="S",F130="I"),-1,1)</f>
        <v>42765.71</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9"/>
        <v>G0652</v>
      </c>
      <c r="AU130" s="488" t="str">
        <f t="shared" si="10"/>
        <v>PUBLICITE-USAGE</v>
      </c>
      <c r="AV130" s="899">
        <f>IFERROR(INDEX(V130:AG130,1,MATCH(Parametres!$B$3,V$1:AG$1,0)-1)*IF(OR(C130="L",C130="S",C130="I"),-1,1),"")</f>
        <v>0</v>
      </c>
      <c r="AW130" s="899">
        <f t="shared" si="11"/>
        <v>0</v>
      </c>
      <c r="AX130" s="899">
        <f>INDEX(V130:AG130,1,MATCH(Parametres!$B$3,V$1:AG$1,0))*IF(OR(C130="L",C130="S",C130="I"),-1,1)</f>
        <v>0</v>
      </c>
      <c r="AY130" s="487" t="s">
        <v>337</v>
      </c>
      <c r="AZ130" s="487">
        <f>+VLOOKUP($AJ130,Data_Validation!$A:$E,5,0)</f>
        <v>0</v>
      </c>
    </row>
    <row r="131" spans="1:52" ht="15.75" hidden="1" customHeight="1">
      <c r="A131" s="706" t="s">
        <v>1148</v>
      </c>
      <c r="B131" s="706">
        <v>2025</v>
      </c>
      <c r="C131" s="706" t="s">
        <v>1436</v>
      </c>
      <c r="D131" s="706" t="s">
        <v>1437</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G0653</v>
      </c>
      <c r="AK131" s="905" t="str">
        <f t="shared" si="7"/>
        <v>PUBLICITE U.S.A</v>
      </c>
      <c r="AL131" s="905">
        <f>IFERROR(INDEX(G131:R131,1,MATCH(Parametres!$B$3,G$1:R$1,0)-1)*IF(OR(F131="L",F131="S",F131="I"),-1,1),"")</f>
        <v>0</v>
      </c>
      <c r="AM131" s="905">
        <f t="shared" si="8"/>
        <v>0</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9"/>
        <v>G0653</v>
      </c>
      <c r="AU131" s="488" t="str">
        <f t="shared" si="10"/>
        <v>PUBLICITE U.S.A</v>
      </c>
      <c r="AV131" s="899">
        <f>IFERROR(INDEX(V131:AG131,1,MATCH(Parametres!$B$3,V$1:AG$1,0)-1)*IF(OR(C131="L",C131="S",C131="I"),-1,1),"")</f>
        <v>0</v>
      </c>
      <c r="AW131" s="899">
        <f t="shared" si="11"/>
        <v>0</v>
      </c>
      <c r="AX131" s="899">
        <f>INDEX(V131:AG131,1,MATCH(Parametres!$B$3,V$1:AG$1,0))*IF(OR(C131="L",C131="S",C131="I"),-1,1)</f>
        <v>0</v>
      </c>
      <c r="AY131" s="487" t="s">
        <v>337</v>
      </c>
      <c r="AZ131" s="487">
        <f>+VLOOKUP($AJ131,Data_Validation!$A:$E,5,0)</f>
        <v>0</v>
      </c>
    </row>
    <row r="132" spans="1:52" ht="15" hidden="1" customHeight="1">
      <c r="A132" s="706" t="s">
        <v>1148</v>
      </c>
      <c r="B132" s="706">
        <v>2025</v>
      </c>
      <c r="C132" s="706" t="s">
        <v>1438</v>
      </c>
      <c r="D132" s="706" t="s">
        <v>1439</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G0654</v>
      </c>
      <c r="AK132" s="905" t="str">
        <f t="shared" ref="AK132:AK195" si="13">D132</f>
        <v>PUBLICITE-SERVICE</v>
      </c>
      <c r="AL132" s="905">
        <f>IFERROR(INDEX(G132:R132,1,MATCH(Parametres!$B$3,G$1:R$1,0)-1)*IF(OR(F132="L",F132="S",F132="I"),-1,1),"")</f>
        <v>8609.26</v>
      </c>
      <c r="AM132" s="905">
        <f t="shared" ref="AM132:AM195" si="14">AN132-AL132</f>
        <v>302.18000000000029</v>
      </c>
      <c r="AN132" s="905">
        <f>INDEX(G132:R132,1,MATCH(Parametres!$B$3,G$1:R$1,0))*IF(OR(F132="L",F132="S",F132="I"),-1,1)</f>
        <v>8911.44</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T195" si="15">C132</f>
        <v>G0654</v>
      </c>
      <c r="AU132" s="488" t="str">
        <f t="shared" ref="AU132:AU195" si="16">D132</f>
        <v>PUBLICITE-SERVICE</v>
      </c>
      <c r="AV132" s="899">
        <f>IFERROR(INDEX(V132:AG132,1,MATCH(Parametres!$B$3,V$1:AG$1,0)-1)*IF(OR(C132="L",C132="S",C132="I"),-1,1),"")</f>
        <v>0</v>
      </c>
      <c r="AW132" s="899">
        <f t="shared" ref="AW132:AW195" si="17">AX132-AV132</f>
        <v>0</v>
      </c>
      <c r="AX132" s="899">
        <f>INDEX(V132:AG132,1,MATCH(Parametres!$B$3,V$1:AG$1,0))*IF(OR(C132="L",C132="S",C132="I"),-1,1)</f>
        <v>0</v>
      </c>
      <c r="AY132" s="487" t="s">
        <v>337</v>
      </c>
      <c r="AZ132" s="487">
        <f>+VLOOKUP($AJ132,Data_Validation!$A:$E,5,0)</f>
        <v>0</v>
      </c>
    </row>
    <row r="133" spans="1:52" ht="15" hidden="1" customHeight="1">
      <c r="A133" s="706" t="s">
        <v>1148</v>
      </c>
      <c r="B133" s="706">
        <v>2025</v>
      </c>
      <c r="C133" s="706" t="s">
        <v>1440</v>
      </c>
      <c r="D133" s="706" t="s">
        <v>1441</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G0655</v>
      </c>
      <c r="AK133" s="905" t="str">
        <f t="shared" si="13"/>
        <v>PUBLICITE-CARROSSERIE</v>
      </c>
      <c r="AL133" s="905">
        <f>IFERROR(INDEX(G133:R133,1,MATCH(Parametres!$B$3,G$1:R$1,0)-1)*IF(OR(F133="L",F133="S",F133="I"),-1,1),"")</f>
        <v>3841.1</v>
      </c>
      <c r="AM133" s="905">
        <f t="shared" si="14"/>
        <v>2451.0000000000005</v>
      </c>
      <c r="AN133" s="905">
        <f>INDEX(G133:R133,1,MATCH(Parametres!$B$3,G$1:R$1,0))*IF(OR(F133="L",F133="S",F133="I"),-1,1)</f>
        <v>6292.1</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5"/>
        <v>G0655</v>
      </c>
      <c r="AU133" s="488" t="str">
        <f t="shared" si="16"/>
        <v>PUBLICITE-CARROSSERIE</v>
      </c>
      <c r="AV133" s="899">
        <f>IFERROR(INDEX(V133:AG133,1,MATCH(Parametres!$B$3,V$1:AG$1,0)-1)*IF(OR(C133="L",C133="S",C133="I"),-1,1),"")</f>
        <v>0</v>
      </c>
      <c r="AW133" s="899">
        <f t="shared" si="17"/>
        <v>0</v>
      </c>
      <c r="AX133" s="899">
        <f>INDEX(V133:AG133,1,MATCH(Parametres!$B$3,V$1:AG$1,0))*IF(OR(C133="L",C133="S",C133="I"),-1,1)</f>
        <v>0</v>
      </c>
      <c r="AY133" s="487" t="s">
        <v>337</v>
      </c>
      <c r="AZ133" s="487">
        <f>+VLOOKUP($AJ133,Data_Validation!$A:$E,5,0)</f>
        <v>0</v>
      </c>
    </row>
    <row r="134" spans="1:52" ht="15" hidden="1" customHeight="1">
      <c r="A134" s="706" t="s">
        <v>1148</v>
      </c>
      <c r="B134" s="706">
        <v>2025</v>
      </c>
      <c r="C134" s="706" t="s">
        <v>1442</v>
      </c>
      <c r="D134" s="706" t="s">
        <v>1443</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G0656</v>
      </c>
      <c r="AK134" s="905" t="str">
        <f t="shared" si="13"/>
        <v>PUBLICITE-PIECES</v>
      </c>
      <c r="AL134" s="905">
        <f>IFERROR(INDEX(G134:R134,1,MATCH(Parametres!$B$3,G$1:R$1,0)-1)*IF(OR(F134="L",F134="S",F134="I"),-1,1),"")</f>
        <v>1752.02</v>
      </c>
      <c r="AM134" s="905">
        <f t="shared" si="14"/>
        <v>-58.8599999999999</v>
      </c>
      <c r="AN134" s="905">
        <f>INDEX(G134:R134,1,MATCH(Parametres!$B$3,G$1:R$1,0))*IF(OR(F134="L",F134="S",F134="I"),-1,1)</f>
        <v>1693.16</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5"/>
        <v>G0656</v>
      </c>
      <c r="AU134" s="488" t="str">
        <f t="shared" si="16"/>
        <v>PUBLICITE-PIECES</v>
      </c>
      <c r="AV134" s="899">
        <f>IFERROR(INDEX(V134:AG134,1,MATCH(Parametres!$B$3,V$1:AG$1,0)-1)*IF(OR(C134="L",C134="S",C134="I"),-1,1),"")</f>
        <v>0</v>
      </c>
      <c r="AW134" s="899">
        <f t="shared" si="17"/>
        <v>0</v>
      </c>
      <c r="AX134" s="899">
        <f>INDEX(V134:AG134,1,MATCH(Parametres!$B$3,V$1:AG$1,0))*IF(OR(C134="L",C134="S",C134="I"),-1,1)</f>
        <v>0</v>
      </c>
      <c r="AY134" s="487" t="s">
        <v>337</v>
      </c>
      <c r="AZ134" s="487">
        <f>+VLOOKUP($AJ134,Data_Validation!$A:$E,5,0)</f>
        <v>0</v>
      </c>
    </row>
    <row r="135" spans="1:52" ht="15.75" customHeight="1">
      <c r="A135" s="706" t="s">
        <v>1148</v>
      </c>
      <c r="B135" s="706">
        <v>2025</v>
      </c>
      <c r="C135" s="706" t="s">
        <v>1444</v>
      </c>
      <c r="D135" s="706" t="s">
        <v>1445</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G0660</v>
      </c>
      <c r="AK135" s="905" t="str">
        <f t="shared" si="13"/>
        <v>CONTRIBUTION - DONS</v>
      </c>
      <c r="AL135" s="905">
        <f>IFERROR(INDEX(G135:R135,1,MATCH(Parametres!$B$3,G$1:R$1,0)-1)*IF(OR(F135="L",F135="S",F135="I"),-1,1),"")</f>
        <v>0</v>
      </c>
      <c r="AM135" s="905">
        <f t="shared" si="14"/>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5"/>
        <v>G0660</v>
      </c>
      <c r="AU135" s="488" t="str">
        <f t="shared" si="16"/>
        <v>CONTRIBUTION - DONS</v>
      </c>
      <c r="AV135" s="899">
        <f>IFERROR(INDEX(V135:AG135,1,MATCH(Parametres!$B$3,V$1:AG$1,0)-1)*IF(OR(C135="L",C135="S",C135="I"),-1,1),"")</f>
        <v>0</v>
      </c>
      <c r="AW135" s="899">
        <f t="shared" si="17"/>
        <v>0</v>
      </c>
      <c r="AX135" s="899">
        <f>INDEX(V135:AG135,1,MATCH(Parametres!$B$3,V$1:AG$1,0))*IF(OR(C135="L",C135="S",C135="I"),-1,1)</f>
        <v>0</v>
      </c>
      <c r="AY135" s="487" t="s">
        <v>337</v>
      </c>
      <c r="AZ135" s="487" t="e">
        <f>+VLOOKUP($AJ135,Data_Validation!$A:$E,5,0)</f>
        <v>#N/A</v>
      </c>
    </row>
    <row r="136" spans="1:52" ht="15" hidden="1" customHeight="1">
      <c r="A136" s="706" t="s">
        <v>1148</v>
      </c>
      <c r="B136" s="706">
        <v>2025</v>
      </c>
      <c r="C136" s="706" t="s">
        <v>1446</v>
      </c>
      <c r="D136" s="706" t="s">
        <v>1447</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G0661</v>
      </c>
      <c r="AK136" s="905" t="str">
        <f t="shared" si="13"/>
        <v>CONTRIBUTIONS-NEUF</v>
      </c>
      <c r="AL136" s="905">
        <f>IFERROR(INDEX(G136:R136,1,MATCH(Parametres!$B$3,G$1:R$1,0)-1)*IF(OR(F136="L",F136="S",F136="I"),-1,1),"")</f>
        <v>0</v>
      </c>
      <c r="AM136" s="905">
        <f t="shared" si="14"/>
        <v>0</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5"/>
        <v>G0661</v>
      </c>
      <c r="AU136" s="488" t="str">
        <f t="shared" si="16"/>
        <v>CONTRIBUTIONS-NEUF</v>
      </c>
      <c r="AV136" s="899">
        <f>IFERROR(INDEX(V136:AG136,1,MATCH(Parametres!$B$3,V$1:AG$1,0)-1)*IF(OR(C136="L",C136="S",C136="I"),-1,1),"")</f>
        <v>0</v>
      </c>
      <c r="AW136" s="899">
        <f t="shared" si="17"/>
        <v>0</v>
      </c>
      <c r="AX136" s="899">
        <f>INDEX(V136:AG136,1,MATCH(Parametres!$B$3,V$1:AG$1,0))*IF(OR(C136="L",C136="S",C136="I"),-1,1)</f>
        <v>0</v>
      </c>
      <c r="AY136" s="487" t="s">
        <v>337</v>
      </c>
      <c r="AZ136" s="487">
        <f>+VLOOKUP($AJ136,Data_Validation!$A:$E,5,0)</f>
        <v>0</v>
      </c>
    </row>
    <row r="137" spans="1:52" ht="15" hidden="1" customHeight="1">
      <c r="A137" s="706" t="s">
        <v>1148</v>
      </c>
      <c r="B137" s="706">
        <v>2025</v>
      </c>
      <c r="C137" s="706" t="s">
        <v>1448</v>
      </c>
      <c r="D137" s="706" t="s">
        <v>1449</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G0662</v>
      </c>
      <c r="AK137" s="905" t="str">
        <f t="shared" si="13"/>
        <v>CONTRIBUTIONS-USAGE</v>
      </c>
      <c r="AL137" s="905">
        <f>IFERROR(INDEX(G137:R137,1,MATCH(Parametres!$B$3,G$1:R$1,0)-1)*IF(OR(F137="L",F137="S",F137="I"),-1,1),"")</f>
        <v>0</v>
      </c>
      <c r="AM137" s="905">
        <f t="shared" si="14"/>
        <v>0</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5"/>
        <v>G0662</v>
      </c>
      <c r="AU137" s="488" t="str">
        <f t="shared" si="16"/>
        <v>CONTRIBUTIONS-USAGE</v>
      </c>
      <c r="AV137" s="899">
        <f>IFERROR(INDEX(V137:AG137,1,MATCH(Parametres!$B$3,V$1:AG$1,0)-1)*IF(OR(C137="L",C137="S",C137="I"),-1,1),"")</f>
        <v>0</v>
      </c>
      <c r="AW137" s="899">
        <f t="shared" si="17"/>
        <v>0</v>
      </c>
      <c r="AX137" s="899">
        <f>INDEX(V137:AG137,1,MATCH(Parametres!$B$3,V$1:AG$1,0))*IF(OR(C137="L",C137="S",C137="I"),-1,1)</f>
        <v>0</v>
      </c>
      <c r="AY137" s="487" t="s">
        <v>337</v>
      </c>
      <c r="AZ137" s="487">
        <f>+VLOOKUP($AJ137,Data_Validation!$A:$E,5,0)</f>
        <v>0</v>
      </c>
    </row>
    <row r="138" spans="1:52" ht="15" hidden="1" customHeight="1">
      <c r="A138" s="706" t="s">
        <v>1148</v>
      </c>
      <c r="B138" s="706">
        <v>2025</v>
      </c>
      <c r="C138" s="706" t="s">
        <v>1450</v>
      </c>
      <c r="D138" s="706" t="s">
        <v>1451</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G0664</v>
      </c>
      <c r="AK138" s="905" t="str">
        <f t="shared" si="13"/>
        <v>CONTRIBUTIONS-SERVICE</v>
      </c>
      <c r="AL138" s="905">
        <f>IFERROR(INDEX(G138:R138,1,MATCH(Parametres!$B$3,G$1:R$1,0)-1)*IF(OR(F138="L",F138="S",F138="I"),-1,1),"")</f>
        <v>250</v>
      </c>
      <c r="AM138" s="905">
        <f t="shared" si="14"/>
        <v>0</v>
      </c>
      <c r="AN138" s="905">
        <f>INDEX(G138:R138,1,MATCH(Parametres!$B$3,G$1:R$1,0))*IF(OR(F138="L",F138="S",F138="I"),-1,1)</f>
        <v>250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5"/>
        <v>G0664</v>
      </c>
      <c r="AU138" s="488" t="str">
        <f t="shared" si="16"/>
        <v>CONTRIBUTIONS-SERVICE</v>
      </c>
      <c r="AV138" s="899">
        <f>IFERROR(INDEX(V138:AG138,1,MATCH(Parametres!$B$3,V$1:AG$1,0)-1)*IF(OR(C138="L",C138="S",C138="I"),-1,1),"")</f>
        <v>0</v>
      </c>
      <c r="AW138" s="899">
        <f t="shared" si="17"/>
        <v>0</v>
      </c>
      <c r="AX138" s="899">
        <f>INDEX(V138:AG138,1,MATCH(Parametres!$B$3,V$1:AG$1,0))*IF(OR(C138="L",C138="S",C138="I"),-1,1)</f>
        <v>0</v>
      </c>
      <c r="AY138" s="487" t="s">
        <v>337</v>
      </c>
      <c r="AZ138" s="487">
        <f>+VLOOKUP($AJ138,Data_Validation!$A:$E,5,0)</f>
        <v>0</v>
      </c>
    </row>
    <row r="139" spans="1:52" ht="15.75" hidden="1" customHeight="1">
      <c r="A139" s="706" t="s">
        <v>1148</v>
      </c>
      <c r="B139" s="706">
        <v>2025</v>
      </c>
      <c r="C139" s="706" t="s">
        <v>1452</v>
      </c>
      <c r="D139" s="706" t="s">
        <v>1453</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G0665</v>
      </c>
      <c r="AK139" s="905" t="str">
        <f t="shared" si="13"/>
        <v>CONTRIBUTIONS-B/S</v>
      </c>
      <c r="AL139" s="905">
        <f>IFERROR(INDEX(G139:R139,1,MATCH(Parametres!$B$3,G$1:R$1,0)-1)*IF(OR(F139="L",F139="S",F139="I"),-1,1),"")</f>
        <v>0</v>
      </c>
      <c r="AM139" s="905">
        <f t="shared" si="14"/>
        <v>0</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5"/>
        <v>G0665</v>
      </c>
      <c r="AU139" s="488" t="str">
        <f t="shared" si="16"/>
        <v>CONTRIBUTIONS-B/S</v>
      </c>
      <c r="AV139" s="899">
        <f>IFERROR(INDEX(V139:AG139,1,MATCH(Parametres!$B$3,V$1:AG$1,0)-1)*IF(OR(C139="L",C139="S",C139="I"),-1,1),"")</f>
        <v>0</v>
      </c>
      <c r="AW139" s="899">
        <f t="shared" si="17"/>
        <v>0</v>
      </c>
      <c r="AX139" s="899">
        <f>INDEX(V139:AG139,1,MATCH(Parametres!$B$3,V$1:AG$1,0))*IF(OR(C139="L",C139="S",C139="I"),-1,1)</f>
        <v>0</v>
      </c>
      <c r="AY139" s="487" t="s">
        <v>337</v>
      </c>
      <c r="AZ139" s="487">
        <f>+VLOOKUP($AJ139,Data_Validation!$A:$E,5,0)</f>
        <v>0</v>
      </c>
    </row>
    <row r="140" spans="1:52" ht="15" hidden="1" customHeight="1">
      <c r="A140" s="706" t="s">
        <v>1148</v>
      </c>
      <c r="B140" s="706">
        <v>2025</v>
      </c>
      <c r="C140" s="706" t="s">
        <v>1454</v>
      </c>
      <c r="D140" s="706" t="s">
        <v>1455</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G0666</v>
      </c>
      <c r="AK140" s="905" t="str">
        <f t="shared" si="13"/>
        <v>PROFIT PIECES VOLVO BODY</v>
      </c>
      <c r="AL140" s="905">
        <f>IFERROR(INDEX(G140:R140,1,MATCH(Parametres!$B$3,G$1:R$1,0)-1)*IF(OR(F140="L",F140="S",F140="I"),-1,1),"")</f>
        <v>0</v>
      </c>
      <c r="AM140" s="905">
        <f t="shared" si="14"/>
        <v>0</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5"/>
        <v>G0666</v>
      </c>
      <c r="AU140" s="488" t="str">
        <f t="shared" si="16"/>
        <v>PROFIT PIECES VOLVO BODY</v>
      </c>
      <c r="AV140" s="899">
        <f>IFERROR(INDEX(V140:AG140,1,MATCH(Parametres!$B$3,V$1:AG$1,0)-1)*IF(OR(C140="L",C140="S",C140="I"),-1,1),"")</f>
        <v>0</v>
      </c>
      <c r="AW140" s="899">
        <f t="shared" si="17"/>
        <v>0</v>
      </c>
      <c r="AX140" s="899">
        <f>INDEX(V140:AG140,1,MATCH(Parametres!$B$3,V$1:AG$1,0))*IF(OR(C140="L",C140="S",C140="I"),-1,1)</f>
        <v>0</v>
      </c>
      <c r="AY140" s="487" t="s">
        <v>337</v>
      </c>
      <c r="AZ140" s="487">
        <f>+VLOOKUP($AJ140,Data_Validation!$A:$E,5,0)</f>
        <v>0</v>
      </c>
    </row>
    <row r="141" spans="1:52" ht="15" hidden="1" customHeight="1">
      <c r="A141" s="706" t="s">
        <v>1148</v>
      </c>
      <c r="B141" s="706">
        <v>2025</v>
      </c>
      <c r="C141" s="706" t="s">
        <v>1456</v>
      </c>
      <c r="D141" s="706" t="s">
        <v>1457</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G0674</v>
      </c>
      <c r="AK141" s="905" t="str">
        <f t="shared" si="13"/>
        <v>REPRISE TRAVAIL SERVICE</v>
      </c>
      <c r="AL141" s="905">
        <f>IFERROR(INDEX(G141:R141,1,MATCH(Parametres!$B$3,G$1:R$1,0)-1)*IF(OR(F141="L",F141="S",F141="I"),-1,1),"")</f>
        <v>18992.88</v>
      </c>
      <c r="AM141" s="905">
        <f t="shared" si="14"/>
        <v>1513.6899999999987</v>
      </c>
      <c r="AN141" s="905">
        <f>INDEX(G141:R141,1,MATCH(Parametres!$B$3,G$1:R$1,0))*IF(OR(F141="L",F141="S",F141="I"),-1,1)</f>
        <v>20506.57</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5"/>
        <v>G0674</v>
      </c>
      <c r="AU141" s="488" t="str">
        <f t="shared" si="16"/>
        <v>REPRISE TRAVAIL SERVICE</v>
      </c>
      <c r="AV141" s="899">
        <f>IFERROR(INDEX(V141:AG141,1,MATCH(Parametres!$B$3,V$1:AG$1,0)-1)*IF(OR(C141="L",C141="S",C141="I"),-1,1),"")</f>
        <v>0</v>
      </c>
      <c r="AW141" s="899">
        <f t="shared" si="17"/>
        <v>0</v>
      </c>
      <c r="AX141" s="899">
        <f>INDEX(V141:AG141,1,MATCH(Parametres!$B$3,V$1:AG$1,0))*IF(OR(C141="L",C141="S",C141="I"),-1,1)</f>
        <v>0</v>
      </c>
      <c r="AY141" s="487" t="s">
        <v>337</v>
      </c>
      <c r="AZ141" s="487">
        <f>+VLOOKUP($AJ141,Data_Validation!$A:$E,5,0)</f>
        <v>0</v>
      </c>
    </row>
    <row r="142" spans="1:52" ht="15" hidden="1" customHeight="1">
      <c r="A142" s="706" t="s">
        <v>1148</v>
      </c>
      <c r="B142" s="706">
        <v>2025</v>
      </c>
      <c r="C142" s="706" t="s">
        <v>1458</v>
      </c>
      <c r="D142" s="706" t="s">
        <v>1459</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G0675</v>
      </c>
      <c r="AK142" s="905" t="str">
        <f t="shared" si="13"/>
        <v>REPRISE TRAVAIL-CARROSS.</v>
      </c>
      <c r="AL142" s="905">
        <f>IFERROR(INDEX(G142:R142,1,MATCH(Parametres!$B$3,G$1:R$1,0)-1)*IF(OR(F142="L",F142="S",F142="I"),-1,1),"")</f>
        <v>13124.4</v>
      </c>
      <c r="AM142" s="905">
        <f t="shared" si="14"/>
        <v>693.46000000000095</v>
      </c>
      <c r="AN142" s="905">
        <f>INDEX(G142:R142,1,MATCH(Parametres!$B$3,G$1:R$1,0))*IF(OR(F142="L",F142="S",F142="I"),-1,1)</f>
        <v>13817.86</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5"/>
        <v>G0675</v>
      </c>
      <c r="AU142" s="488" t="str">
        <f t="shared" si="16"/>
        <v>REPRISE TRAVAIL-CARROSS.</v>
      </c>
      <c r="AV142" s="899">
        <f>IFERROR(INDEX(V142:AG142,1,MATCH(Parametres!$B$3,V$1:AG$1,0)-1)*IF(OR(C142="L",C142="S",C142="I"),-1,1),"")</f>
        <v>0</v>
      </c>
      <c r="AW142" s="899">
        <f t="shared" si="17"/>
        <v>0</v>
      </c>
      <c r="AX142" s="899">
        <f>INDEX(V142:AG142,1,MATCH(Parametres!$B$3,V$1:AG$1,0))*IF(OR(C142="L",C142="S",C142="I"),-1,1)</f>
        <v>0</v>
      </c>
      <c r="AY142" s="487" t="s">
        <v>337</v>
      </c>
      <c r="AZ142" s="487">
        <f>+VLOOKUP($AJ142,Data_Validation!$A:$E,5,0)</f>
        <v>0</v>
      </c>
    </row>
    <row r="143" spans="1:52" ht="15.75" hidden="1" customHeight="1">
      <c r="A143" s="706" t="s">
        <v>1148</v>
      </c>
      <c r="B143" s="706">
        <v>2025</v>
      </c>
      <c r="C143" s="706" t="s">
        <v>1460</v>
      </c>
      <c r="D143" s="706" t="s">
        <v>1461</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G0676</v>
      </c>
      <c r="AK143" s="905" t="str">
        <f t="shared" si="13"/>
        <v>REPRISE TRAVAIL-PIECES</v>
      </c>
      <c r="AL143" s="905">
        <f>IFERROR(INDEX(G143:R143,1,MATCH(Parametres!$B$3,G$1:R$1,0)-1)*IF(OR(F143="L",F143="S",F143="I"),-1,1),"")</f>
        <v>2123.5300000000002</v>
      </c>
      <c r="AM143" s="905">
        <f t="shared" si="14"/>
        <v>0</v>
      </c>
      <c r="AN143" s="905">
        <f>INDEX(G143:R143,1,MATCH(Parametres!$B$3,G$1:R$1,0))*IF(OR(F143="L",F143="S",F143="I"),-1,1)</f>
        <v>2123.5300000000002</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5"/>
        <v>G0676</v>
      </c>
      <c r="AU143" s="488" t="str">
        <f t="shared" si="16"/>
        <v>REPRISE TRAVAIL-PIECES</v>
      </c>
      <c r="AV143" s="899">
        <f>IFERROR(INDEX(V143:AG143,1,MATCH(Parametres!$B$3,V$1:AG$1,0)-1)*IF(OR(C143="L",C143="S",C143="I"),-1,1),"")</f>
        <v>0</v>
      </c>
      <c r="AW143" s="899">
        <f t="shared" si="17"/>
        <v>0</v>
      </c>
      <c r="AX143" s="899">
        <f>INDEX(V143:AG143,1,MATCH(Parametres!$B$3,V$1:AG$1,0))*IF(OR(C143="L",C143="S",C143="I"),-1,1)</f>
        <v>0</v>
      </c>
      <c r="AY143" s="487" t="s">
        <v>337</v>
      </c>
      <c r="AZ143" s="487">
        <f>+VLOOKUP($AJ143,Data_Validation!$A:$E,5,0)</f>
        <v>0</v>
      </c>
    </row>
    <row r="144" spans="1:52" ht="15" customHeight="1">
      <c r="A144" s="706" t="s">
        <v>1148</v>
      </c>
      <c r="B144" s="706">
        <v>2025</v>
      </c>
      <c r="C144" s="706" t="s">
        <v>1462</v>
      </c>
      <c r="D144" s="706" t="s">
        <v>1463</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G0680</v>
      </c>
      <c r="AK144" s="905" t="str">
        <f t="shared" si="13"/>
        <v>SERV INFORMATIQUE REP</v>
      </c>
      <c r="AL144" s="905">
        <f>IFERROR(INDEX(G144:R144,1,MATCH(Parametres!$B$3,G$1:R$1,0)-1)*IF(OR(F144="L",F144="S",F144="I"),-1,1),"")</f>
        <v>0</v>
      </c>
      <c r="AM144" s="905">
        <f t="shared" si="14"/>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5"/>
        <v>G0680</v>
      </c>
      <c r="AU144" s="488" t="str">
        <f t="shared" si="16"/>
        <v>SERV INFORMATIQUE REP</v>
      </c>
      <c r="AV144" s="899">
        <f>IFERROR(INDEX(V144:AG144,1,MATCH(Parametres!$B$3,V$1:AG$1,0)-1)*IF(OR(C144="L",C144="S",C144="I"),-1,1),"")</f>
        <v>0</v>
      </c>
      <c r="AW144" s="899">
        <f t="shared" si="17"/>
        <v>0</v>
      </c>
      <c r="AX144" s="899">
        <f>INDEX(V144:AG144,1,MATCH(Parametres!$B$3,V$1:AG$1,0))*IF(OR(C144="L",C144="S",C144="I"),-1,1)</f>
        <v>0</v>
      </c>
      <c r="AY144" s="487" t="s">
        <v>337</v>
      </c>
      <c r="AZ144" s="487" t="e">
        <f>+VLOOKUP($AJ144,Data_Validation!$A:$E,5,0)</f>
        <v>#N/A</v>
      </c>
    </row>
    <row r="145" spans="1:52" ht="15" hidden="1" customHeight="1">
      <c r="A145" s="706" t="s">
        <v>1148</v>
      </c>
      <c r="B145" s="706">
        <v>2025</v>
      </c>
      <c r="C145" s="706" t="s">
        <v>1464</v>
      </c>
      <c r="D145" s="706" t="s">
        <v>1465</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G0681</v>
      </c>
      <c r="AK145" s="905" t="str">
        <f t="shared" si="13"/>
        <v>SERV.INFORMATIQUE-NEUF</v>
      </c>
      <c r="AL145" s="905">
        <f>IFERROR(INDEX(G145:R145,1,MATCH(Parametres!$B$3,G$1:R$1,0)-1)*IF(OR(F145="L",F145="S",F145="I"),-1,1),"")</f>
        <v>37886.22</v>
      </c>
      <c r="AM145" s="905">
        <f t="shared" si="14"/>
        <v>3685.2299999999959</v>
      </c>
      <c r="AN145" s="905">
        <f>INDEX(G145:R145,1,MATCH(Parametres!$B$3,G$1:R$1,0))*IF(OR(F145="L",F145="S",F145="I"),-1,1)</f>
        <v>41571.449999999997</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5"/>
        <v>G0681</v>
      </c>
      <c r="AU145" s="488" t="str">
        <f t="shared" si="16"/>
        <v>SERV.INFORMATIQUE-NEUF</v>
      </c>
      <c r="AV145" s="899">
        <f>IFERROR(INDEX(V145:AG145,1,MATCH(Parametres!$B$3,V$1:AG$1,0)-1)*IF(OR(C145="L",C145="S",C145="I"),-1,1),"")</f>
        <v>0</v>
      </c>
      <c r="AW145" s="899">
        <f t="shared" si="17"/>
        <v>0</v>
      </c>
      <c r="AX145" s="899">
        <f>INDEX(V145:AG145,1,MATCH(Parametres!$B$3,V$1:AG$1,0))*IF(OR(C145="L",C145="S",C145="I"),-1,1)</f>
        <v>0</v>
      </c>
      <c r="AY145" s="487" t="s">
        <v>337</v>
      </c>
      <c r="AZ145" s="487">
        <f>+VLOOKUP($AJ145,Data_Validation!$A:$E,5,0)</f>
        <v>0</v>
      </c>
    </row>
    <row r="146" spans="1:52" ht="15" hidden="1" customHeight="1">
      <c r="A146" s="706" t="s">
        <v>1148</v>
      </c>
      <c r="B146" s="706">
        <v>2025</v>
      </c>
      <c r="C146" s="706" t="s">
        <v>1466</v>
      </c>
      <c r="D146" s="706" t="s">
        <v>1467</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G0682</v>
      </c>
      <c r="AK146" s="905" t="str">
        <f t="shared" si="13"/>
        <v>SERV.INFORMATIQUE-USAGE</v>
      </c>
      <c r="AL146" s="905">
        <f>IFERROR(INDEX(G146:R146,1,MATCH(Parametres!$B$3,G$1:R$1,0)-1)*IF(OR(F146="L",F146="S",F146="I"),-1,1),"")</f>
        <v>16578.46</v>
      </c>
      <c r="AM146" s="905">
        <f t="shared" si="14"/>
        <v>1645.4099999999999</v>
      </c>
      <c r="AN146" s="905">
        <f>INDEX(G146:R146,1,MATCH(Parametres!$B$3,G$1:R$1,0))*IF(OR(F146="L",F146="S",F146="I"),-1,1)</f>
        <v>18223.87</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5"/>
        <v>G0682</v>
      </c>
      <c r="AU146" s="488" t="str">
        <f t="shared" si="16"/>
        <v>SERV.INFORMATIQUE-USAGE</v>
      </c>
      <c r="AV146" s="899">
        <f>IFERROR(INDEX(V146:AG146,1,MATCH(Parametres!$B$3,V$1:AG$1,0)-1)*IF(OR(C146="L",C146="S",C146="I"),-1,1),"")</f>
        <v>0</v>
      </c>
      <c r="AW146" s="899">
        <f t="shared" si="17"/>
        <v>0</v>
      </c>
      <c r="AX146" s="899">
        <f>INDEX(V146:AG146,1,MATCH(Parametres!$B$3,V$1:AG$1,0))*IF(OR(C146="L",C146="S",C146="I"),-1,1)</f>
        <v>0</v>
      </c>
      <c r="AY146" s="487" t="s">
        <v>337</v>
      </c>
      <c r="AZ146" s="487">
        <f>+VLOOKUP($AJ146,Data_Validation!$A:$E,5,0)</f>
        <v>0</v>
      </c>
    </row>
    <row r="147" spans="1:52" ht="15" hidden="1" customHeight="1">
      <c r="A147" s="706" t="s">
        <v>1148</v>
      </c>
      <c r="B147" s="706">
        <v>2025</v>
      </c>
      <c r="C147" s="706" t="s">
        <v>1468</v>
      </c>
      <c r="D147" s="706" t="s">
        <v>1469</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G0683</v>
      </c>
      <c r="AK147" s="905" t="str">
        <f t="shared" si="13"/>
        <v>SERV. INFORMAT. U.S.A</v>
      </c>
      <c r="AL147" s="905">
        <f>IFERROR(INDEX(G147:R147,1,MATCH(Parametres!$B$3,G$1:R$1,0)-1)*IF(OR(F147="L",F147="S",F147="I"),-1,1),"")</f>
        <v>0</v>
      </c>
      <c r="AM147" s="905">
        <f t="shared" si="14"/>
        <v>0</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5"/>
        <v>G0683</v>
      </c>
      <c r="AU147" s="488" t="str">
        <f t="shared" si="16"/>
        <v>SERV. INFORMAT. U.S.A</v>
      </c>
      <c r="AV147" s="899">
        <f>IFERROR(INDEX(V147:AG147,1,MATCH(Parametres!$B$3,V$1:AG$1,0)-1)*IF(OR(C147="L",C147="S",C147="I"),-1,1),"")</f>
        <v>0</v>
      </c>
      <c r="AW147" s="899">
        <f t="shared" si="17"/>
        <v>0</v>
      </c>
      <c r="AX147" s="899">
        <f>INDEX(V147:AG147,1,MATCH(Parametres!$B$3,V$1:AG$1,0))*IF(OR(C147="L",C147="S",C147="I"),-1,1)</f>
        <v>0</v>
      </c>
      <c r="AY147" s="487" t="s">
        <v>337</v>
      </c>
      <c r="AZ147" s="487">
        <f>+VLOOKUP($AJ147,Data_Validation!$A:$E,5,0)</f>
        <v>0</v>
      </c>
    </row>
    <row r="148" spans="1:52" ht="15" hidden="1" customHeight="1">
      <c r="A148" s="706" t="s">
        <v>1148</v>
      </c>
      <c r="B148" s="706">
        <v>2025</v>
      </c>
      <c r="C148" s="706" t="s">
        <v>1470</v>
      </c>
      <c r="D148" s="706" t="s">
        <v>1471</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G0684</v>
      </c>
      <c r="AK148" s="905" t="str">
        <f t="shared" si="13"/>
        <v>SERV.INFORMATIQUE-SERV.</v>
      </c>
      <c r="AL148" s="905">
        <f>IFERROR(INDEX(G148:R148,1,MATCH(Parametres!$B$3,G$1:R$1,0)-1)*IF(OR(F148="L",F148="S",F148="I"),-1,1),"")</f>
        <v>23840.51</v>
      </c>
      <c r="AM148" s="905">
        <f t="shared" si="14"/>
        <v>3444.9400000000023</v>
      </c>
      <c r="AN148" s="905">
        <f>INDEX(G148:R148,1,MATCH(Parametres!$B$3,G$1:R$1,0))*IF(OR(F148="L",F148="S",F148="I"),-1,1)</f>
        <v>27285.45</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5"/>
        <v>G0684</v>
      </c>
      <c r="AU148" s="488" t="str">
        <f t="shared" si="16"/>
        <v>SERV.INFORMATIQUE-SERV.</v>
      </c>
      <c r="AV148" s="899">
        <f>IFERROR(INDEX(V148:AG148,1,MATCH(Parametres!$B$3,V$1:AG$1,0)-1)*IF(OR(C148="L",C148="S",C148="I"),-1,1),"")</f>
        <v>0</v>
      </c>
      <c r="AW148" s="899">
        <f t="shared" si="17"/>
        <v>0</v>
      </c>
      <c r="AX148" s="899">
        <f>INDEX(V148:AG148,1,MATCH(Parametres!$B$3,V$1:AG$1,0))*IF(OR(C148="L",C148="S",C148="I"),-1,1)</f>
        <v>0</v>
      </c>
      <c r="AY148" s="487" t="s">
        <v>337</v>
      </c>
      <c r="AZ148" s="487">
        <f>+VLOOKUP($AJ148,Data_Validation!$A:$E,5,0)</f>
        <v>0</v>
      </c>
    </row>
    <row r="149" spans="1:52" ht="15" hidden="1" customHeight="1">
      <c r="A149" s="706" t="s">
        <v>1148</v>
      </c>
      <c r="B149" s="706">
        <v>2025</v>
      </c>
      <c r="C149" s="706" t="s">
        <v>1472</v>
      </c>
      <c r="D149" s="706" t="s">
        <v>1473</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G0685</v>
      </c>
      <c r="AK149" s="905" t="str">
        <f t="shared" si="13"/>
        <v>SERV.INFORMATIQUE-CARR.</v>
      </c>
      <c r="AL149" s="905">
        <f>IFERROR(INDEX(G149:R149,1,MATCH(Parametres!$B$3,G$1:R$1,0)-1)*IF(OR(F149="L",F149="S",F149="I"),-1,1),"")</f>
        <v>15209.96</v>
      </c>
      <c r="AM149" s="905">
        <f t="shared" si="14"/>
        <v>2448.510000000002</v>
      </c>
      <c r="AN149" s="905">
        <f>INDEX(G149:R149,1,MATCH(Parametres!$B$3,G$1:R$1,0))*IF(OR(F149="L",F149="S",F149="I"),-1,1)</f>
        <v>17658.47</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5"/>
        <v>G0685</v>
      </c>
      <c r="AU149" s="488" t="str">
        <f t="shared" si="16"/>
        <v>SERV.INFORMATIQUE-CARR.</v>
      </c>
      <c r="AV149" s="899">
        <f>IFERROR(INDEX(V149:AG149,1,MATCH(Parametres!$B$3,V$1:AG$1,0)-1)*IF(OR(C149="L",C149="S",C149="I"),-1,1),"")</f>
        <v>0</v>
      </c>
      <c r="AW149" s="899">
        <f t="shared" si="17"/>
        <v>0</v>
      </c>
      <c r="AX149" s="899">
        <f>INDEX(V149:AG149,1,MATCH(Parametres!$B$3,V$1:AG$1,0))*IF(OR(C149="L",C149="S",C149="I"),-1,1)</f>
        <v>0</v>
      </c>
      <c r="AY149" s="487" t="s">
        <v>337</v>
      </c>
      <c r="AZ149" s="487">
        <f>+VLOOKUP($AJ149,Data_Validation!$A:$E,5,0)</f>
        <v>0</v>
      </c>
    </row>
    <row r="150" spans="1:52" ht="15" hidden="1" customHeight="1">
      <c r="A150" s="706" t="s">
        <v>1148</v>
      </c>
      <c r="B150" s="706">
        <v>2025</v>
      </c>
      <c r="C150" s="706" t="s">
        <v>1474</v>
      </c>
      <c r="D150" s="706" t="s">
        <v>1475</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G0686</v>
      </c>
      <c r="AK150" s="905" t="str">
        <f t="shared" si="13"/>
        <v>SERV.INFORMATIQUE-PIECES</v>
      </c>
      <c r="AL150" s="905">
        <f>IFERROR(INDEX(G150:R150,1,MATCH(Parametres!$B$3,G$1:R$1,0)-1)*IF(OR(F150="L",F150="S",F150="I"),-1,1),"")</f>
        <v>15292.21</v>
      </c>
      <c r="AM150" s="905">
        <f t="shared" si="14"/>
        <v>1907.1500000000015</v>
      </c>
      <c r="AN150" s="905">
        <f>INDEX(G150:R150,1,MATCH(Parametres!$B$3,G$1:R$1,0))*IF(OR(F150="L",F150="S",F150="I"),-1,1)</f>
        <v>17199.36</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5"/>
        <v>G0686</v>
      </c>
      <c r="AU150" s="488" t="str">
        <f t="shared" si="16"/>
        <v>SERV.INFORMATIQUE-PIECES</v>
      </c>
      <c r="AV150" s="899">
        <f>IFERROR(INDEX(V150:AG150,1,MATCH(Parametres!$B$3,V$1:AG$1,0)-1)*IF(OR(C150="L",C150="S",C150="I"),-1,1),"")</f>
        <v>0</v>
      </c>
      <c r="AW150" s="899">
        <f t="shared" si="17"/>
        <v>0</v>
      </c>
      <c r="AX150" s="899">
        <f>INDEX(V150:AG150,1,MATCH(Parametres!$B$3,V$1:AG$1,0))*IF(OR(C150="L",C150="S",C150="I"),-1,1)</f>
        <v>0</v>
      </c>
      <c r="AY150" s="487" t="s">
        <v>337</v>
      </c>
      <c r="AZ150" s="487">
        <f>+VLOOKUP($AJ150,Data_Validation!$A:$E,5,0)</f>
        <v>0</v>
      </c>
    </row>
    <row r="151" spans="1:52" ht="15.75" hidden="1" customHeight="1">
      <c r="A151" s="706" t="s">
        <v>1148</v>
      </c>
      <c r="B151" s="706">
        <v>2025</v>
      </c>
      <c r="C151" s="706" t="s">
        <v>1476</v>
      </c>
      <c r="D151" s="706" t="s">
        <v>1477</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G0687</v>
      </c>
      <c r="AK151" s="905" t="str">
        <f t="shared" si="13"/>
        <v>SERV.INFORMATIQUE-PIECE</v>
      </c>
      <c r="AL151" s="905">
        <f>IFERROR(INDEX(G151:R151,1,MATCH(Parametres!$B$3,G$1:R$1,0)-1)*IF(OR(F151="L",F151="S",F151="I"),-1,1),"")</f>
        <v>0</v>
      </c>
      <c r="AM151" s="905">
        <f t="shared" si="14"/>
        <v>0</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5"/>
        <v>G0687</v>
      </c>
      <c r="AU151" s="488" t="str">
        <f t="shared" si="16"/>
        <v>SERV.INFORMATIQUE-PIECE</v>
      </c>
      <c r="AV151" s="899">
        <f>IFERROR(INDEX(V151:AG151,1,MATCH(Parametres!$B$3,V$1:AG$1,0)-1)*IF(OR(C151="L",C151="S",C151="I"),-1,1),"")</f>
        <v>0</v>
      </c>
      <c r="AW151" s="899">
        <f t="shared" si="17"/>
        <v>0</v>
      </c>
      <c r="AX151" s="899">
        <f>INDEX(V151:AG151,1,MATCH(Parametres!$B$3,V$1:AG$1,0))*IF(OR(C151="L",C151="S",C151="I"),-1,1)</f>
        <v>0</v>
      </c>
      <c r="AY151" s="487" t="s">
        <v>337</v>
      </c>
      <c r="AZ151" s="487">
        <f>+VLOOKUP($AJ151,Data_Validation!$A:$E,5,0)</f>
        <v>0</v>
      </c>
    </row>
    <row r="152" spans="1:52" ht="15" customHeight="1">
      <c r="A152" s="706" t="s">
        <v>1148</v>
      </c>
      <c r="B152" s="706">
        <v>2025</v>
      </c>
      <c r="C152" s="706" t="s">
        <v>1478</v>
      </c>
      <c r="D152" s="706" t="s">
        <v>1479</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G0689</v>
      </c>
      <c r="AK152" s="905" t="str">
        <f t="shared" si="13"/>
        <v>SERV.INFORMATIQUE-ADMIN</v>
      </c>
      <c r="AL152" s="905">
        <f>IFERROR(INDEX(G152:R152,1,MATCH(Parametres!$B$3,G$1:R$1,0)-1)*IF(OR(F152="L",F152="S",F152="I"),-1,1),"")</f>
        <v>0</v>
      </c>
      <c r="AM152" s="905">
        <f t="shared" si="14"/>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G0689</v>
      </c>
      <c r="AU152" s="488" t="str">
        <f t="shared" si="16"/>
        <v>SERV.INFORMATIQUE-ADMIN</v>
      </c>
      <c r="AV152" s="899">
        <f>IFERROR(INDEX(V152:AG152,1,MATCH(Parametres!$B$3,V$1:AG$1,0)-1)*IF(OR(C152="L",C152="S",C152="I"),-1,1),"")</f>
        <v>0</v>
      </c>
      <c r="AW152" s="899">
        <f t="shared" si="17"/>
        <v>0</v>
      </c>
      <c r="AX152" s="899">
        <f>INDEX(V152:AG152,1,MATCH(Parametres!$B$3,V$1:AG$1,0))*IF(OR(C152="L",C152="S",C152="I"),-1,1)</f>
        <v>0</v>
      </c>
      <c r="AY152" s="487" t="s">
        <v>337</v>
      </c>
      <c r="AZ152" s="487" t="e">
        <f>+VLOOKUP($AJ152,Data_Validation!$A:$E,5,0)</f>
        <v>#N/A</v>
      </c>
    </row>
    <row r="153" spans="1:52" ht="15" customHeight="1">
      <c r="A153" s="706" t="s">
        <v>1148</v>
      </c>
      <c r="B153" s="706">
        <v>2025</v>
      </c>
      <c r="C153" s="706" t="s">
        <v>1480</v>
      </c>
      <c r="D153" s="706" t="s">
        <v>1481</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G0690</v>
      </c>
      <c r="AK153" s="905" t="str">
        <f t="shared" si="13"/>
        <v>SERV EXTERIEUR REP</v>
      </c>
      <c r="AL153" s="905">
        <f>IFERROR(INDEX(G153:R153,1,MATCH(Parametres!$B$3,G$1:R$1,0)-1)*IF(OR(F153="L",F153="S",F153="I"),-1,1),"")</f>
        <v>0</v>
      </c>
      <c r="AM153" s="905">
        <f t="shared" si="14"/>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G0690</v>
      </c>
      <c r="AU153" s="488" t="str">
        <f t="shared" si="16"/>
        <v>SERV EXTERIEUR REP</v>
      </c>
      <c r="AV153" s="899">
        <f>IFERROR(INDEX(V153:AG153,1,MATCH(Parametres!$B$3,V$1:AG$1,0)-1)*IF(OR(C153="L",C153="S",C153="I"),-1,1),"")</f>
        <v>0</v>
      </c>
      <c r="AW153" s="899">
        <f t="shared" si="17"/>
        <v>0</v>
      </c>
      <c r="AX153" s="899">
        <f>INDEX(V153:AG153,1,MATCH(Parametres!$B$3,V$1:AG$1,0))*IF(OR(C153="L",C153="S",C153="I"),-1,1)</f>
        <v>0</v>
      </c>
      <c r="AY153" s="487" t="s">
        <v>337</v>
      </c>
      <c r="AZ153" s="487" t="e">
        <f>+VLOOKUP($AJ153,Data_Validation!$A:$E,5,0)</f>
        <v>#N/A</v>
      </c>
    </row>
    <row r="154" spans="1:52" ht="15" hidden="1" customHeight="1">
      <c r="A154" s="706" t="s">
        <v>1148</v>
      </c>
      <c r="B154" s="706">
        <v>2025</v>
      </c>
      <c r="C154" s="706" t="s">
        <v>1482</v>
      </c>
      <c r="D154" s="706" t="s">
        <v>1483</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G0691</v>
      </c>
      <c r="AK154" s="905" t="str">
        <f t="shared" si="13"/>
        <v>SERV. EXTERIEUR-NEUF</v>
      </c>
      <c r="AL154" s="905">
        <f>IFERROR(INDEX(G154:R154,1,MATCH(Parametres!$B$3,G$1:R$1,0)-1)*IF(OR(F154="L",F154="S",F154="I"),-1,1),"")</f>
        <v>40924.04</v>
      </c>
      <c r="AM154" s="905">
        <f t="shared" si="14"/>
        <v>4597.510000000002</v>
      </c>
      <c r="AN154" s="905">
        <f>INDEX(G154:R154,1,MATCH(Parametres!$B$3,G$1:R$1,0))*IF(OR(F154="L",F154="S",F154="I"),-1,1)</f>
        <v>45521.55</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5"/>
        <v>G0691</v>
      </c>
      <c r="AU154" s="488" t="str">
        <f t="shared" si="16"/>
        <v>SERV. EXTERIEUR-NEUF</v>
      </c>
      <c r="AV154" s="899">
        <f>IFERROR(INDEX(V154:AG154,1,MATCH(Parametres!$B$3,V$1:AG$1,0)-1)*IF(OR(C154="L",C154="S",C154="I"),-1,1),"")</f>
        <v>0</v>
      </c>
      <c r="AW154" s="899">
        <f t="shared" si="17"/>
        <v>0</v>
      </c>
      <c r="AX154" s="899">
        <f>INDEX(V154:AG154,1,MATCH(Parametres!$B$3,V$1:AG$1,0))*IF(OR(C154="L",C154="S",C154="I"),-1,1)</f>
        <v>0</v>
      </c>
      <c r="AY154" s="487" t="s">
        <v>337</v>
      </c>
      <c r="AZ154" s="487">
        <f>+VLOOKUP($AJ154,Data_Validation!$A:$E,5,0)</f>
        <v>0</v>
      </c>
    </row>
    <row r="155" spans="1:52" ht="15.75" hidden="1" customHeight="1">
      <c r="A155" s="706" t="s">
        <v>1148</v>
      </c>
      <c r="B155" s="706">
        <v>2025</v>
      </c>
      <c r="C155" s="706" t="s">
        <v>1484</v>
      </c>
      <c r="D155" s="706" t="s">
        <v>1485</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G0692</v>
      </c>
      <c r="AK155" s="905" t="str">
        <f t="shared" si="13"/>
        <v>SERV. EXTERIEUR-USAGES</v>
      </c>
      <c r="AL155" s="905">
        <f>IFERROR(INDEX(G155:R155,1,MATCH(Parametres!$B$3,G$1:R$1,0)-1)*IF(OR(F155="L",F155="S",F155="I"),-1,1),"")</f>
        <v>21855.09</v>
      </c>
      <c r="AM155" s="905">
        <f t="shared" si="14"/>
        <v>2962.5299999999988</v>
      </c>
      <c r="AN155" s="905">
        <f>INDEX(G155:R155,1,MATCH(Parametres!$B$3,G$1:R$1,0))*IF(OR(F155="L",F155="S",F155="I"),-1,1)</f>
        <v>24817.62</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5"/>
        <v>G0692</v>
      </c>
      <c r="AU155" s="488" t="str">
        <f t="shared" si="16"/>
        <v>SERV. EXTERIEUR-USAGES</v>
      </c>
      <c r="AV155" s="899">
        <f>IFERROR(INDEX(V155:AG155,1,MATCH(Parametres!$B$3,V$1:AG$1,0)-1)*IF(OR(C155="L",C155="S",C155="I"),-1,1),"")</f>
        <v>0</v>
      </c>
      <c r="AW155" s="899">
        <f t="shared" si="17"/>
        <v>0</v>
      </c>
      <c r="AX155" s="899">
        <f>INDEX(V155:AG155,1,MATCH(Parametres!$B$3,V$1:AG$1,0))*IF(OR(C155="L",C155="S",C155="I"),-1,1)</f>
        <v>0</v>
      </c>
      <c r="AY155" s="487" t="s">
        <v>337</v>
      </c>
      <c r="AZ155" s="487">
        <f>+VLOOKUP($AJ155,Data_Validation!$A:$E,5,0)</f>
        <v>0</v>
      </c>
    </row>
    <row r="156" spans="1:52" ht="15" hidden="1" customHeight="1">
      <c r="A156" s="706" t="s">
        <v>1148</v>
      </c>
      <c r="B156" s="706">
        <v>2025</v>
      </c>
      <c r="C156" s="706" t="s">
        <v>1486</v>
      </c>
      <c r="D156" s="706" t="s">
        <v>1487</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G0693</v>
      </c>
      <c r="AK156" s="905" t="str">
        <f t="shared" si="13"/>
        <v>SERV. EXTERIEURS U.S.A</v>
      </c>
      <c r="AL156" s="905">
        <f>IFERROR(INDEX(G156:R156,1,MATCH(Parametres!$B$3,G$1:R$1,0)-1)*IF(OR(F156="L",F156="S",F156="I"),-1,1),"")</f>
        <v>9.1999999999999993</v>
      </c>
      <c r="AM156" s="905">
        <f t="shared" si="14"/>
        <v>0</v>
      </c>
      <c r="AN156" s="905">
        <f>INDEX(G156:R156,1,MATCH(Parametres!$B$3,G$1:R$1,0))*IF(OR(F156="L",F156="S",F156="I"),-1,1)</f>
        <v>9.1999999999999993</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5"/>
        <v>G0693</v>
      </c>
      <c r="AU156" s="488" t="str">
        <f t="shared" si="16"/>
        <v>SERV. EXTERIEURS U.S.A</v>
      </c>
      <c r="AV156" s="899">
        <f>IFERROR(INDEX(V156:AG156,1,MATCH(Parametres!$B$3,V$1:AG$1,0)-1)*IF(OR(C156="L",C156="S",C156="I"),-1,1),"")</f>
        <v>0</v>
      </c>
      <c r="AW156" s="899">
        <f t="shared" si="17"/>
        <v>0</v>
      </c>
      <c r="AX156" s="899">
        <f>INDEX(V156:AG156,1,MATCH(Parametres!$B$3,V$1:AG$1,0))*IF(OR(C156="L",C156="S",C156="I"),-1,1)</f>
        <v>0</v>
      </c>
      <c r="AY156" s="487" t="s">
        <v>337</v>
      </c>
      <c r="AZ156" s="487">
        <f>+VLOOKUP($AJ156,Data_Validation!$A:$E,5,0)</f>
        <v>0</v>
      </c>
    </row>
    <row r="157" spans="1:52" ht="15" hidden="1" customHeight="1">
      <c r="A157" s="706" t="s">
        <v>1148</v>
      </c>
      <c r="B157" s="706">
        <v>2025</v>
      </c>
      <c r="C157" s="706" t="s">
        <v>1488</v>
      </c>
      <c r="D157" s="706" t="s">
        <v>1489</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G0694</v>
      </c>
      <c r="AK157" s="905" t="str">
        <f t="shared" si="13"/>
        <v>SERV. EXTERIEUR-SERV.</v>
      </c>
      <c r="AL157" s="905">
        <f>IFERROR(INDEX(G157:R157,1,MATCH(Parametres!$B$3,G$1:R$1,0)-1)*IF(OR(F157="L",F157="S",F157="I"),-1,1),"")</f>
        <v>76722.759999999995</v>
      </c>
      <c r="AM157" s="905">
        <f t="shared" si="14"/>
        <v>5718.2000000000116</v>
      </c>
      <c r="AN157" s="905">
        <f>INDEX(G157:R157,1,MATCH(Parametres!$B$3,G$1:R$1,0))*IF(OR(F157="L",F157="S",F157="I"),-1,1)</f>
        <v>82440.960000000006</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5"/>
        <v>G0694</v>
      </c>
      <c r="AU157" s="488" t="str">
        <f t="shared" si="16"/>
        <v>SERV. EXTERIEUR-SERV.</v>
      </c>
      <c r="AV157" s="899">
        <f>IFERROR(INDEX(V157:AG157,1,MATCH(Parametres!$B$3,V$1:AG$1,0)-1)*IF(OR(C157="L",C157="S",C157="I"),-1,1),"")</f>
        <v>0</v>
      </c>
      <c r="AW157" s="899">
        <f t="shared" si="17"/>
        <v>0</v>
      </c>
      <c r="AX157" s="899">
        <f>INDEX(V157:AG157,1,MATCH(Parametres!$B$3,V$1:AG$1,0))*IF(OR(C157="L",C157="S",C157="I"),-1,1)</f>
        <v>0</v>
      </c>
      <c r="AY157" s="487" t="s">
        <v>337</v>
      </c>
      <c r="AZ157" s="487">
        <f>+VLOOKUP($AJ157,Data_Validation!$A:$E,5,0)</f>
        <v>0</v>
      </c>
    </row>
    <row r="158" spans="1:52" ht="15" hidden="1" customHeight="1">
      <c r="A158" s="706" t="s">
        <v>1148</v>
      </c>
      <c r="B158" s="706">
        <v>2025</v>
      </c>
      <c r="C158" s="706" t="s">
        <v>1490</v>
      </c>
      <c r="D158" s="706" t="s">
        <v>1491</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G0695</v>
      </c>
      <c r="AK158" s="905" t="str">
        <f t="shared" si="13"/>
        <v>SERV. EXTERIEUR-CARR.</v>
      </c>
      <c r="AL158" s="905">
        <f>IFERROR(INDEX(G158:R158,1,MATCH(Parametres!$B$3,G$1:R$1,0)-1)*IF(OR(F158="L",F158="S",F158="I"),-1,1),"")</f>
        <v>26761.95</v>
      </c>
      <c r="AM158" s="905">
        <f t="shared" si="14"/>
        <v>2016.2599999999984</v>
      </c>
      <c r="AN158" s="905">
        <f>INDEX(G158:R158,1,MATCH(Parametres!$B$3,G$1:R$1,0))*IF(OR(F158="L",F158="S",F158="I"),-1,1)</f>
        <v>28778.21</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5"/>
        <v>G0695</v>
      </c>
      <c r="AU158" s="488" t="str">
        <f t="shared" si="16"/>
        <v>SERV. EXTERIEUR-CARR.</v>
      </c>
      <c r="AV158" s="899">
        <f>IFERROR(INDEX(V158:AG158,1,MATCH(Parametres!$B$3,V$1:AG$1,0)-1)*IF(OR(C158="L",C158="S",C158="I"),-1,1),"")</f>
        <v>0</v>
      </c>
      <c r="AW158" s="899">
        <f t="shared" si="17"/>
        <v>0</v>
      </c>
      <c r="AX158" s="899">
        <f>INDEX(V158:AG158,1,MATCH(Parametres!$B$3,V$1:AG$1,0))*IF(OR(C158="L",C158="S",C158="I"),-1,1)</f>
        <v>0</v>
      </c>
      <c r="AY158" s="487" t="s">
        <v>337</v>
      </c>
      <c r="AZ158" s="487">
        <f>+VLOOKUP($AJ158,Data_Validation!$A:$E,5,0)</f>
        <v>0</v>
      </c>
    </row>
    <row r="159" spans="1:52" ht="15.75" hidden="1" customHeight="1">
      <c r="A159" s="706" t="s">
        <v>1148</v>
      </c>
      <c r="B159" s="706">
        <v>2025</v>
      </c>
      <c r="C159" s="706" t="s">
        <v>1492</v>
      </c>
      <c r="D159" s="706" t="s">
        <v>1493</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G0696</v>
      </c>
      <c r="AK159" s="905" t="str">
        <f t="shared" si="13"/>
        <v>SERV. EXTERIEUR-PIECES</v>
      </c>
      <c r="AL159" s="905">
        <f>IFERROR(INDEX(G159:R159,1,MATCH(Parametres!$B$3,G$1:R$1,0)-1)*IF(OR(F159="L",F159="S",F159="I"),-1,1),"")</f>
        <v>13953.96</v>
      </c>
      <c r="AM159" s="905">
        <f t="shared" si="14"/>
        <v>2016.2600000000002</v>
      </c>
      <c r="AN159" s="905">
        <f>INDEX(G159:R159,1,MATCH(Parametres!$B$3,G$1:R$1,0))*IF(OR(F159="L",F159="S",F159="I"),-1,1)</f>
        <v>15970.22</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5"/>
        <v>G0696</v>
      </c>
      <c r="AU159" s="488" t="str">
        <f t="shared" si="16"/>
        <v>SERV. EXTERIEUR-PIECES</v>
      </c>
      <c r="AV159" s="899">
        <f>IFERROR(INDEX(V159:AG159,1,MATCH(Parametres!$B$3,V$1:AG$1,0)-1)*IF(OR(C159="L",C159="S",C159="I"),-1,1),"")</f>
        <v>0</v>
      </c>
      <c r="AW159" s="899">
        <f t="shared" si="17"/>
        <v>0</v>
      </c>
      <c r="AX159" s="899">
        <f>INDEX(V159:AG159,1,MATCH(Parametres!$B$3,V$1:AG$1,0))*IF(OR(C159="L",C159="S",C159="I"),-1,1)</f>
        <v>0</v>
      </c>
      <c r="AY159" s="487" t="s">
        <v>337</v>
      </c>
      <c r="AZ159" s="487">
        <f>+VLOOKUP($AJ159,Data_Validation!$A:$E,5,0)</f>
        <v>0</v>
      </c>
    </row>
    <row r="160" spans="1:52" ht="15" hidden="1" customHeight="1">
      <c r="A160" s="706" t="s">
        <v>1148</v>
      </c>
      <c r="B160" s="706">
        <v>2025</v>
      </c>
      <c r="C160" s="706" t="s">
        <v>1494</v>
      </c>
      <c r="D160" s="706" t="s">
        <v>1495</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G0697</v>
      </c>
      <c r="AK160" s="905" t="str">
        <f t="shared" si="13"/>
        <v>SERV. EXTER.AUTRES-PIECE</v>
      </c>
      <c r="AL160" s="905">
        <f>IFERROR(INDEX(G160:R160,1,MATCH(Parametres!$B$3,G$1:R$1,0)-1)*IF(OR(F160="L",F160="S",F160="I"),-1,1),"")</f>
        <v>0</v>
      </c>
      <c r="AM160" s="905">
        <f t="shared" si="14"/>
        <v>0</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5"/>
        <v>G0697</v>
      </c>
      <c r="AU160" s="488" t="str">
        <f t="shared" si="16"/>
        <v>SERV. EXTER.AUTRES-PIECE</v>
      </c>
      <c r="AV160" s="899">
        <f>IFERROR(INDEX(V160:AG160,1,MATCH(Parametres!$B$3,V$1:AG$1,0)-1)*IF(OR(C160="L",C160="S",C160="I"),-1,1),"")</f>
        <v>0</v>
      </c>
      <c r="AW160" s="899">
        <f t="shared" si="17"/>
        <v>0</v>
      </c>
      <c r="AX160" s="899">
        <f>INDEX(V160:AG160,1,MATCH(Parametres!$B$3,V$1:AG$1,0))*IF(OR(C160="L",C160="S",C160="I"),-1,1)</f>
        <v>0</v>
      </c>
      <c r="AY160" s="487" t="s">
        <v>337</v>
      </c>
      <c r="AZ160" s="487">
        <f>+VLOOKUP($AJ160,Data_Validation!$A:$E,5,0)</f>
        <v>0</v>
      </c>
    </row>
    <row r="161" spans="1:52" ht="15" customHeight="1">
      <c r="A161" s="706" t="s">
        <v>1148</v>
      </c>
      <c r="B161" s="706">
        <v>2025</v>
      </c>
      <c r="C161" s="706" t="s">
        <v>1496</v>
      </c>
      <c r="D161" s="706" t="s">
        <v>1497</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G0699</v>
      </c>
      <c r="AK161" s="905" t="str">
        <f t="shared" si="13"/>
        <v>SERV. EXTERIEUR-ADMIN</v>
      </c>
      <c r="AL161" s="905">
        <f>IFERROR(INDEX(G161:R161,1,MATCH(Parametres!$B$3,G$1:R$1,0)-1)*IF(OR(F161="L",F161="S",F161="I"),-1,1),"")</f>
        <v>0</v>
      </c>
      <c r="AM161" s="905">
        <f t="shared" si="14"/>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5"/>
        <v>G0699</v>
      </c>
      <c r="AU161" s="488" t="str">
        <f t="shared" si="16"/>
        <v>SERV. EXTERIEUR-ADMIN</v>
      </c>
      <c r="AV161" s="899">
        <f>IFERROR(INDEX(V161:AG161,1,MATCH(Parametres!$B$3,V$1:AG$1,0)-1)*IF(OR(C161="L",C161="S",C161="I"),-1,1),"")</f>
        <v>0</v>
      </c>
      <c r="AW161" s="899">
        <f t="shared" si="17"/>
        <v>0</v>
      </c>
      <c r="AX161" s="899">
        <f>INDEX(V161:AG161,1,MATCH(Parametres!$B$3,V$1:AG$1,0))*IF(OR(C161="L",C161="S",C161="I"),-1,1)</f>
        <v>0</v>
      </c>
      <c r="AY161" s="487" t="s">
        <v>337</v>
      </c>
      <c r="AZ161" s="487" t="e">
        <f>+VLOOKUP($AJ161,Data_Validation!$A:$E,5,0)</f>
        <v>#N/A</v>
      </c>
    </row>
    <row r="162" spans="1:52" ht="15" customHeight="1">
      <c r="A162" s="706" t="s">
        <v>1148</v>
      </c>
      <c r="B162" s="706">
        <v>2025</v>
      </c>
      <c r="C162" s="706" t="s">
        <v>1498</v>
      </c>
      <c r="D162" s="706" t="s">
        <v>1499</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G0700</v>
      </c>
      <c r="AK162" s="905" t="str">
        <f t="shared" si="13"/>
        <v>FRAIS REPRESENT. REP</v>
      </c>
      <c r="AL162" s="905">
        <f>IFERROR(INDEX(G162:R162,1,MATCH(Parametres!$B$3,G$1:R$1,0)-1)*IF(OR(F162="L",F162="S",F162="I"),-1,1),"")</f>
        <v>0</v>
      </c>
      <c r="AM162" s="905">
        <f t="shared" si="14"/>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5"/>
        <v>G0700</v>
      </c>
      <c r="AU162" s="488" t="str">
        <f t="shared" si="16"/>
        <v>FRAIS REPRESENT. REP</v>
      </c>
      <c r="AV162" s="899">
        <f>IFERROR(INDEX(V162:AG162,1,MATCH(Parametres!$B$3,V$1:AG$1,0)-1)*IF(OR(C162="L",C162="S",C162="I"),-1,1),"")</f>
        <v>0</v>
      </c>
      <c r="AW162" s="899">
        <f t="shared" si="17"/>
        <v>0</v>
      </c>
      <c r="AX162" s="899">
        <f>INDEX(V162:AG162,1,MATCH(Parametres!$B$3,V$1:AG$1,0))*IF(OR(C162="L",C162="S",C162="I"),-1,1)</f>
        <v>0</v>
      </c>
      <c r="AY162" s="487" t="s">
        <v>337</v>
      </c>
      <c r="AZ162" s="487" t="e">
        <f>+VLOOKUP($AJ162,Data_Validation!$A:$E,5,0)</f>
        <v>#N/A</v>
      </c>
    </row>
    <row r="163" spans="1:52" ht="15.75" hidden="1" customHeight="1">
      <c r="A163" s="706" t="s">
        <v>1148</v>
      </c>
      <c r="B163" s="706">
        <v>2025</v>
      </c>
      <c r="C163" s="706" t="s">
        <v>1500</v>
      </c>
      <c r="D163" s="706" t="s">
        <v>1501</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G07000</v>
      </c>
      <c r="AK163" s="905" t="str">
        <f t="shared" si="13"/>
        <v>FR. REPRES. 50%- REPART.</v>
      </c>
      <c r="AL163" s="905">
        <f>IFERROR(INDEX(G163:R163,1,MATCH(Parametres!$B$3,G$1:R$1,0)-1)*IF(OR(F163="L",F163="S",F163="I"),-1,1),"")</f>
        <v>7558.23</v>
      </c>
      <c r="AM163" s="905">
        <f t="shared" si="14"/>
        <v>-61.229999999999563</v>
      </c>
      <c r="AN163" s="905">
        <f>INDEX(G163:R163,1,MATCH(Parametres!$B$3,G$1:R$1,0))*IF(OR(F163="L",F163="S",F163="I"),-1,1)</f>
        <v>7497</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5"/>
        <v>G07000</v>
      </c>
      <c r="AU163" s="488" t="str">
        <f t="shared" si="16"/>
        <v>FR. REPRES. 50%- REPART.</v>
      </c>
      <c r="AV163" s="899">
        <f>IFERROR(INDEX(V163:AG163,1,MATCH(Parametres!$B$3,V$1:AG$1,0)-1)*IF(OR(C163="L",C163="S",C163="I"),-1,1),"")</f>
        <v>0</v>
      </c>
      <c r="AW163" s="899">
        <f t="shared" si="17"/>
        <v>0</v>
      </c>
      <c r="AX163" s="899">
        <f>INDEX(V163:AG163,1,MATCH(Parametres!$B$3,V$1:AG$1,0))*IF(OR(C163="L",C163="S",C163="I"),-1,1)</f>
        <v>0</v>
      </c>
      <c r="AY163" s="487" t="s">
        <v>337</v>
      </c>
      <c r="AZ163" s="487">
        <f>+VLOOKUP($AJ163,Data_Validation!$A:$E,5,0)</f>
        <v>0</v>
      </c>
    </row>
    <row r="164" spans="1:52" ht="15" hidden="1" customHeight="1">
      <c r="A164" s="706" t="s">
        <v>1148</v>
      </c>
      <c r="B164" s="706">
        <v>2025</v>
      </c>
      <c r="C164" s="706" t="s">
        <v>1502</v>
      </c>
      <c r="D164" s="706" t="s">
        <v>1503</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G0701</v>
      </c>
      <c r="AK164" s="905" t="str">
        <f t="shared" si="13"/>
        <v>FRAIS REPRES.-NEUFS</v>
      </c>
      <c r="AL164" s="905">
        <f>IFERROR(INDEX(G164:R164,1,MATCH(Parametres!$B$3,G$1:R$1,0)-1)*IF(OR(F164="L",F164="S",F164="I"),-1,1),"")</f>
        <v>32903.46</v>
      </c>
      <c r="AM164" s="905">
        <f t="shared" si="14"/>
        <v>524.55999999999767</v>
      </c>
      <c r="AN164" s="905">
        <f>INDEX(G164:R164,1,MATCH(Parametres!$B$3,G$1:R$1,0))*IF(OR(F164="L",F164="S",F164="I"),-1,1)</f>
        <v>33428.019999999997</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5"/>
        <v>G0701</v>
      </c>
      <c r="AU164" s="488" t="str">
        <f t="shared" si="16"/>
        <v>FRAIS REPRES.-NEUFS</v>
      </c>
      <c r="AV164" s="899">
        <f>IFERROR(INDEX(V164:AG164,1,MATCH(Parametres!$B$3,V$1:AG$1,0)-1)*IF(OR(C164="L",C164="S",C164="I"),-1,1),"")</f>
        <v>0</v>
      </c>
      <c r="AW164" s="899">
        <f t="shared" si="17"/>
        <v>0</v>
      </c>
      <c r="AX164" s="899">
        <f>INDEX(V164:AG164,1,MATCH(Parametres!$B$3,V$1:AG$1,0))*IF(OR(C164="L",C164="S",C164="I"),-1,1)</f>
        <v>0</v>
      </c>
      <c r="AY164" s="487" t="s">
        <v>337</v>
      </c>
      <c r="AZ164" s="487">
        <f>+VLOOKUP($AJ164,Data_Validation!$A:$E,5,0)</f>
        <v>0</v>
      </c>
    </row>
    <row r="165" spans="1:52" ht="15" hidden="1" customHeight="1">
      <c r="A165" s="706" t="s">
        <v>1148</v>
      </c>
      <c r="B165" s="706">
        <v>2025</v>
      </c>
      <c r="C165" s="706" t="s">
        <v>1504</v>
      </c>
      <c r="D165" s="706" t="s">
        <v>1505</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G07011</v>
      </c>
      <c r="AK165" s="905" t="str">
        <f t="shared" si="13"/>
        <v>FR.REPRES 50% NEUF</v>
      </c>
      <c r="AL165" s="905">
        <f>IFERROR(INDEX(G165:R165,1,MATCH(Parametres!$B$3,G$1:R$1,0)-1)*IF(OR(F165="L",F165="S",F165="I"),-1,1),"")</f>
        <v>2342.58</v>
      </c>
      <c r="AM165" s="905">
        <f t="shared" si="14"/>
        <v>39.960000000000036</v>
      </c>
      <c r="AN165" s="905">
        <f>INDEX(G165:R165,1,MATCH(Parametres!$B$3,G$1:R$1,0))*IF(OR(F165="L",F165="S",F165="I"),-1,1)</f>
        <v>2382.54</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5"/>
        <v>G07011</v>
      </c>
      <c r="AU165" s="488" t="str">
        <f t="shared" si="16"/>
        <v>FR.REPRES 50% NEUF</v>
      </c>
      <c r="AV165" s="899">
        <f>IFERROR(INDEX(V165:AG165,1,MATCH(Parametres!$B$3,V$1:AG$1,0)-1)*IF(OR(C165="L",C165="S",C165="I"),-1,1),"")</f>
        <v>0</v>
      </c>
      <c r="AW165" s="899">
        <f t="shared" si="17"/>
        <v>0</v>
      </c>
      <c r="AX165" s="899">
        <f>INDEX(V165:AG165,1,MATCH(Parametres!$B$3,V$1:AG$1,0))*IF(OR(C165="L",C165="S",C165="I"),-1,1)</f>
        <v>0</v>
      </c>
      <c r="AY165" s="487" t="s">
        <v>337</v>
      </c>
      <c r="AZ165" s="487">
        <f>+VLOOKUP($AJ165,Data_Validation!$A:$E,5,0)</f>
        <v>0</v>
      </c>
    </row>
    <row r="166" spans="1:52" ht="15" hidden="1" customHeight="1">
      <c r="A166" s="706" t="s">
        <v>1148</v>
      </c>
      <c r="B166" s="706">
        <v>2025</v>
      </c>
      <c r="C166" s="706" t="s">
        <v>1506</v>
      </c>
      <c r="D166" s="706" t="s">
        <v>1507</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G0702</v>
      </c>
      <c r="AK166" s="905" t="str">
        <f t="shared" si="13"/>
        <v>FRAIS REPRES.-USAGES</v>
      </c>
      <c r="AL166" s="905">
        <f>IFERROR(INDEX(G166:R166,1,MATCH(Parametres!$B$3,G$1:R$1,0)-1)*IF(OR(F166="L",F166="S",F166="I"),-1,1),"")</f>
        <v>20956.310000000001</v>
      </c>
      <c r="AM166" s="905">
        <f t="shared" si="14"/>
        <v>300</v>
      </c>
      <c r="AN166" s="905">
        <f>INDEX(G166:R166,1,MATCH(Parametres!$B$3,G$1:R$1,0))*IF(OR(F166="L",F166="S",F166="I"),-1,1)</f>
        <v>21256.31</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5"/>
        <v>G0702</v>
      </c>
      <c r="AU166" s="488" t="str">
        <f t="shared" si="16"/>
        <v>FRAIS REPRES.-USAGES</v>
      </c>
      <c r="AV166" s="899">
        <f>IFERROR(INDEX(V166:AG166,1,MATCH(Parametres!$B$3,V$1:AG$1,0)-1)*IF(OR(C166="L",C166="S",C166="I"),-1,1),"")</f>
        <v>0</v>
      </c>
      <c r="AW166" s="899">
        <f t="shared" si="17"/>
        <v>0</v>
      </c>
      <c r="AX166" s="899">
        <f>INDEX(V166:AG166,1,MATCH(Parametres!$B$3,V$1:AG$1,0))*IF(OR(C166="L",C166="S",C166="I"),-1,1)</f>
        <v>0</v>
      </c>
      <c r="AY166" s="487" t="s">
        <v>337</v>
      </c>
      <c r="AZ166" s="487">
        <f>+VLOOKUP($AJ166,Data_Validation!$A:$E,5,0)</f>
        <v>0</v>
      </c>
    </row>
    <row r="167" spans="1:52" ht="15" hidden="1" customHeight="1">
      <c r="A167" s="706" t="s">
        <v>1148</v>
      </c>
      <c r="B167" s="706">
        <v>2025</v>
      </c>
      <c r="C167" s="706" t="s">
        <v>1508</v>
      </c>
      <c r="D167" s="706" t="s">
        <v>1509</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G07022</v>
      </c>
      <c r="AK167" s="905" t="str">
        <f t="shared" si="13"/>
        <v>FR.REPRES 50% USAGE</v>
      </c>
      <c r="AL167" s="905">
        <f>IFERROR(INDEX(G167:R167,1,MATCH(Parametres!$B$3,G$1:R$1,0)-1)*IF(OR(F167="L",F167="S",F167="I"),-1,1),"")</f>
        <v>390.72</v>
      </c>
      <c r="AM167" s="905">
        <f t="shared" si="14"/>
        <v>0</v>
      </c>
      <c r="AN167" s="905">
        <f>INDEX(G167:R167,1,MATCH(Parametres!$B$3,G$1:R$1,0))*IF(OR(F167="L",F167="S",F167="I"),-1,1)</f>
        <v>390.72</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5"/>
        <v>G07022</v>
      </c>
      <c r="AU167" s="488" t="str">
        <f t="shared" si="16"/>
        <v>FR.REPRES 50% USAGE</v>
      </c>
      <c r="AV167" s="899">
        <f>IFERROR(INDEX(V167:AG167,1,MATCH(Parametres!$B$3,V$1:AG$1,0)-1)*IF(OR(C167="L",C167="S",C167="I"),-1,1),"")</f>
        <v>0</v>
      </c>
      <c r="AW167" s="899">
        <f t="shared" si="17"/>
        <v>0</v>
      </c>
      <c r="AX167" s="899">
        <f>INDEX(V167:AG167,1,MATCH(Parametres!$B$3,V$1:AG$1,0))*IF(OR(C167="L",C167="S",C167="I"),-1,1)</f>
        <v>0</v>
      </c>
      <c r="AY167" s="487" t="s">
        <v>337</v>
      </c>
      <c r="AZ167" s="487">
        <f>+VLOOKUP($AJ167,Data_Validation!$A:$E,5,0)</f>
        <v>0</v>
      </c>
    </row>
    <row r="168" spans="1:52" ht="15.75" hidden="1" customHeight="1">
      <c r="A168" s="706" t="s">
        <v>1148</v>
      </c>
      <c r="B168" s="706">
        <v>2025</v>
      </c>
      <c r="C168" s="706" t="s">
        <v>1510</v>
      </c>
      <c r="D168" s="706" t="s">
        <v>1511</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G0703</v>
      </c>
      <c r="AK168" s="905" t="str">
        <f t="shared" si="13"/>
        <v>FRAIS REPRESENT. U.S.A</v>
      </c>
      <c r="AL168" s="905">
        <f>IFERROR(INDEX(G168:R168,1,MATCH(Parametres!$B$3,G$1:R$1,0)-1)*IF(OR(F168="L",F168="S",F168="I"),-1,1),"")</f>
        <v>0</v>
      </c>
      <c r="AM168" s="905">
        <f t="shared" si="14"/>
        <v>0</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5"/>
        <v>G0703</v>
      </c>
      <c r="AU168" s="488" t="str">
        <f t="shared" si="16"/>
        <v>FRAIS REPRESENT. U.S.A</v>
      </c>
      <c r="AV168" s="899">
        <f>IFERROR(INDEX(V168:AG168,1,MATCH(Parametres!$B$3,V$1:AG$1,0)-1)*IF(OR(C168="L",C168="S",C168="I"),-1,1),"")</f>
        <v>0</v>
      </c>
      <c r="AW168" s="899">
        <f t="shared" si="17"/>
        <v>0</v>
      </c>
      <c r="AX168" s="899">
        <f>INDEX(V168:AG168,1,MATCH(Parametres!$B$3,V$1:AG$1,0))*IF(OR(C168="L",C168="S",C168="I"),-1,1)</f>
        <v>0</v>
      </c>
      <c r="AY168" s="487" t="s">
        <v>337</v>
      </c>
      <c r="AZ168" s="487">
        <f>+VLOOKUP($AJ168,Data_Validation!$A:$E,5,0)</f>
        <v>0</v>
      </c>
    </row>
    <row r="169" spans="1:52" ht="15" hidden="1" customHeight="1">
      <c r="A169" s="706" t="s">
        <v>1148</v>
      </c>
      <c r="B169" s="706">
        <v>2025</v>
      </c>
      <c r="C169" s="706" t="s">
        <v>1512</v>
      </c>
      <c r="D169" s="706" t="s">
        <v>1513</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G07033</v>
      </c>
      <c r="AK169" s="905" t="str">
        <f t="shared" si="13"/>
        <v>FR. REPRES. 50%- U.S.A</v>
      </c>
      <c r="AL169" s="905">
        <f>IFERROR(INDEX(G169:R169,1,MATCH(Parametres!$B$3,G$1:R$1,0)-1)*IF(OR(F169="L",F169="S",F169="I"),-1,1),"")</f>
        <v>0</v>
      </c>
      <c r="AM169" s="905">
        <f t="shared" si="14"/>
        <v>0</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5"/>
        <v>G07033</v>
      </c>
      <c r="AU169" s="488" t="str">
        <f t="shared" si="16"/>
        <v>FR. REPRES. 50%- U.S.A</v>
      </c>
      <c r="AV169" s="899">
        <f>IFERROR(INDEX(V169:AG169,1,MATCH(Parametres!$B$3,V$1:AG$1,0)-1)*IF(OR(C169="L",C169="S",C169="I"),-1,1),"")</f>
        <v>0</v>
      </c>
      <c r="AW169" s="899">
        <f t="shared" si="17"/>
        <v>0</v>
      </c>
      <c r="AX169" s="899">
        <f>INDEX(V169:AG169,1,MATCH(Parametres!$B$3,V$1:AG$1,0))*IF(OR(C169="L",C169="S",C169="I"),-1,1)</f>
        <v>0</v>
      </c>
      <c r="AY169" s="487" t="s">
        <v>337</v>
      </c>
      <c r="AZ169" s="487">
        <f>+VLOOKUP($AJ169,Data_Validation!$A:$E,5,0)</f>
        <v>0</v>
      </c>
    </row>
    <row r="170" spans="1:52" ht="15" hidden="1" customHeight="1">
      <c r="A170" s="706" t="s">
        <v>1148</v>
      </c>
      <c r="B170" s="706">
        <v>2025</v>
      </c>
      <c r="C170" s="706" t="s">
        <v>1514</v>
      </c>
      <c r="D170" s="706" t="s">
        <v>1515</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G0704</v>
      </c>
      <c r="AK170" s="905" t="str">
        <f t="shared" si="13"/>
        <v>FRAIS REPRES.-SERVICE</v>
      </c>
      <c r="AL170" s="905">
        <f>IFERROR(INDEX(G170:R170,1,MATCH(Parametres!$B$3,G$1:R$1,0)-1)*IF(OR(F170="L",F170="S",F170="I"),-1,1),"")</f>
        <v>31899.14</v>
      </c>
      <c r="AM170" s="905">
        <f t="shared" si="14"/>
        <v>450</v>
      </c>
      <c r="AN170" s="905">
        <f>INDEX(G170:R170,1,MATCH(Parametres!$B$3,G$1:R$1,0))*IF(OR(F170="L",F170="S",F170="I"),-1,1)</f>
        <v>32349.14</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5"/>
        <v>G0704</v>
      </c>
      <c r="AU170" s="488" t="str">
        <f t="shared" si="16"/>
        <v>FRAIS REPRES.-SERVICE</v>
      </c>
      <c r="AV170" s="899">
        <f>IFERROR(INDEX(V170:AG170,1,MATCH(Parametres!$B$3,V$1:AG$1,0)-1)*IF(OR(C170="L",C170="S",C170="I"),-1,1),"")</f>
        <v>0</v>
      </c>
      <c r="AW170" s="899">
        <f t="shared" si="17"/>
        <v>0</v>
      </c>
      <c r="AX170" s="899">
        <f>INDEX(V170:AG170,1,MATCH(Parametres!$B$3,V$1:AG$1,0))*IF(OR(C170="L",C170="S",C170="I"),-1,1)</f>
        <v>0</v>
      </c>
      <c r="AY170" s="487" t="s">
        <v>337</v>
      </c>
      <c r="AZ170" s="487">
        <f>+VLOOKUP($AJ170,Data_Validation!$A:$E,5,0)</f>
        <v>0</v>
      </c>
    </row>
    <row r="171" spans="1:52" ht="15" hidden="1" customHeight="1">
      <c r="A171" s="706" t="s">
        <v>1148</v>
      </c>
      <c r="B171" s="706">
        <v>2025</v>
      </c>
      <c r="C171" s="706" t="s">
        <v>1516</v>
      </c>
      <c r="D171" s="706" t="s">
        <v>1517</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G07044</v>
      </c>
      <c r="AK171" s="905" t="str">
        <f t="shared" si="13"/>
        <v>FR.REPRES 50% SERVICE</v>
      </c>
      <c r="AL171" s="905">
        <f>IFERROR(INDEX(G171:R171,1,MATCH(Parametres!$B$3,G$1:R$1,0)-1)*IF(OR(F171="L",F171="S",F171="I"),-1,1),"")</f>
        <v>579.75</v>
      </c>
      <c r="AM171" s="905">
        <f t="shared" si="14"/>
        <v>34.509999999999991</v>
      </c>
      <c r="AN171" s="905">
        <f>INDEX(G171:R171,1,MATCH(Parametres!$B$3,G$1:R$1,0))*IF(OR(F171="L",F171="S",F171="I"),-1,1)</f>
        <v>614.26</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5"/>
        <v>G07044</v>
      </c>
      <c r="AU171" s="488" t="str">
        <f t="shared" si="16"/>
        <v>FR.REPRES 50% SERVICE</v>
      </c>
      <c r="AV171" s="899">
        <f>IFERROR(INDEX(V171:AG171,1,MATCH(Parametres!$B$3,V$1:AG$1,0)-1)*IF(OR(C171="L",C171="S",C171="I"),-1,1),"")</f>
        <v>0</v>
      </c>
      <c r="AW171" s="899">
        <f t="shared" si="17"/>
        <v>0</v>
      </c>
      <c r="AX171" s="899">
        <f>INDEX(V171:AG171,1,MATCH(Parametres!$B$3,V$1:AG$1,0))*IF(OR(C171="L",C171="S",C171="I"),-1,1)</f>
        <v>0</v>
      </c>
      <c r="AY171" s="487" t="s">
        <v>337</v>
      </c>
      <c r="AZ171" s="487">
        <f>+VLOOKUP($AJ171,Data_Validation!$A:$E,5,0)</f>
        <v>0</v>
      </c>
    </row>
    <row r="172" spans="1:52" ht="15.75" hidden="1" customHeight="1">
      <c r="A172" s="706" t="s">
        <v>1148</v>
      </c>
      <c r="B172" s="706">
        <v>2025</v>
      </c>
      <c r="C172" s="706" t="s">
        <v>1518</v>
      </c>
      <c r="D172" s="706" t="s">
        <v>1519</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G0705</v>
      </c>
      <c r="AK172" s="905" t="str">
        <f t="shared" si="13"/>
        <v>FRAIS REPRES.-CARROSS.</v>
      </c>
      <c r="AL172" s="905">
        <f>IFERROR(INDEX(G172:R172,1,MATCH(Parametres!$B$3,G$1:R$1,0)-1)*IF(OR(F172="L",F172="S",F172="I"),-1,1),"")</f>
        <v>10478.15</v>
      </c>
      <c r="AM172" s="905">
        <f t="shared" si="14"/>
        <v>150</v>
      </c>
      <c r="AN172" s="905">
        <f>INDEX(G172:R172,1,MATCH(Parametres!$B$3,G$1:R$1,0))*IF(OR(F172="L",F172="S",F172="I"),-1,1)</f>
        <v>10628.15</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5"/>
        <v>G0705</v>
      </c>
      <c r="AU172" s="488" t="str">
        <f t="shared" si="16"/>
        <v>FRAIS REPRES.-CARROSS.</v>
      </c>
      <c r="AV172" s="899">
        <f>IFERROR(INDEX(V172:AG172,1,MATCH(Parametres!$B$3,V$1:AG$1,0)-1)*IF(OR(C172="L",C172="S",C172="I"),-1,1),"")</f>
        <v>0</v>
      </c>
      <c r="AW172" s="899">
        <f t="shared" si="17"/>
        <v>0</v>
      </c>
      <c r="AX172" s="899">
        <f>INDEX(V172:AG172,1,MATCH(Parametres!$B$3,V$1:AG$1,0))*IF(OR(C172="L",C172="S",C172="I"),-1,1)</f>
        <v>0</v>
      </c>
      <c r="AY172" s="487" t="s">
        <v>337</v>
      </c>
      <c r="AZ172" s="487">
        <f>+VLOOKUP($AJ172,Data_Validation!$A:$E,5,0)</f>
        <v>0</v>
      </c>
    </row>
    <row r="173" spans="1:52" ht="15" hidden="1" customHeight="1">
      <c r="A173" s="706" t="s">
        <v>1148</v>
      </c>
      <c r="B173" s="706">
        <v>2025</v>
      </c>
      <c r="C173" s="706" t="s">
        <v>1520</v>
      </c>
      <c r="D173" s="706" t="s">
        <v>1521</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G07055</v>
      </c>
      <c r="AK173" s="905" t="str">
        <f t="shared" si="13"/>
        <v>FR.REPRES 50% CARROSSERIE</v>
      </c>
      <c r="AL173" s="905">
        <f>IFERROR(INDEX(G173:R173,1,MATCH(Parametres!$B$3,G$1:R$1,0)-1)*IF(OR(F173="L",F173="S",F173="I"),-1,1),"")</f>
        <v>0</v>
      </c>
      <c r="AM173" s="905">
        <f t="shared" si="14"/>
        <v>0</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5"/>
        <v>G07055</v>
      </c>
      <c r="AU173" s="488" t="str">
        <f t="shared" si="16"/>
        <v>FR.REPRES 50% CARROSSERIE</v>
      </c>
      <c r="AV173" s="899">
        <f>IFERROR(INDEX(V173:AG173,1,MATCH(Parametres!$B$3,V$1:AG$1,0)-1)*IF(OR(C173="L",C173="S",C173="I"),-1,1),"")</f>
        <v>0</v>
      </c>
      <c r="AW173" s="899">
        <f t="shared" si="17"/>
        <v>0</v>
      </c>
      <c r="AX173" s="899">
        <f>INDEX(V173:AG173,1,MATCH(Parametres!$B$3,V$1:AG$1,0))*IF(OR(C173="L",C173="S",C173="I"),-1,1)</f>
        <v>0</v>
      </c>
      <c r="AY173" s="487" t="s">
        <v>337</v>
      </c>
      <c r="AZ173" s="487">
        <f>+VLOOKUP($AJ173,Data_Validation!$A:$E,5,0)</f>
        <v>0</v>
      </c>
    </row>
    <row r="174" spans="1:52" ht="15" hidden="1" customHeight="1">
      <c r="A174" s="706" t="s">
        <v>1148</v>
      </c>
      <c r="B174" s="706">
        <v>2025</v>
      </c>
      <c r="C174" s="706" t="s">
        <v>1522</v>
      </c>
      <c r="D174" s="706" t="s">
        <v>1523</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G0706</v>
      </c>
      <c r="AK174" s="905" t="str">
        <f t="shared" si="13"/>
        <v>FRAIS REPRES.-PIECE</v>
      </c>
      <c r="AL174" s="905">
        <f>IFERROR(INDEX(G174:R174,1,MATCH(Parametres!$B$3,G$1:R$1,0)-1)*IF(OR(F174="L",F174="S",F174="I"),-1,1),"")</f>
        <v>11396.54</v>
      </c>
      <c r="AM174" s="905">
        <f t="shared" si="14"/>
        <v>150</v>
      </c>
      <c r="AN174" s="905">
        <f>INDEX(G174:R174,1,MATCH(Parametres!$B$3,G$1:R$1,0))*IF(OR(F174="L",F174="S",F174="I"),-1,1)</f>
        <v>11546.54</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5"/>
        <v>G0706</v>
      </c>
      <c r="AU174" s="488" t="str">
        <f t="shared" si="16"/>
        <v>FRAIS REPRES.-PIECE</v>
      </c>
      <c r="AV174" s="899">
        <f>IFERROR(INDEX(V174:AG174,1,MATCH(Parametres!$B$3,V$1:AG$1,0)-1)*IF(OR(C174="L",C174="S",C174="I"),-1,1),"")</f>
        <v>0</v>
      </c>
      <c r="AW174" s="899">
        <f t="shared" si="17"/>
        <v>0</v>
      </c>
      <c r="AX174" s="899">
        <f>INDEX(V174:AG174,1,MATCH(Parametres!$B$3,V$1:AG$1,0))*IF(OR(C174="L",C174="S",C174="I"),-1,1)</f>
        <v>0</v>
      </c>
      <c r="AY174" s="487" t="s">
        <v>337</v>
      </c>
      <c r="AZ174" s="487">
        <f>+VLOOKUP($AJ174,Data_Validation!$A:$E,5,0)</f>
        <v>0</v>
      </c>
    </row>
    <row r="175" spans="1:52" ht="15" hidden="1" customHeight="1">
      <c r="A175" s="706" t="s">
        <v>1148</v>
      </c>
      <c r="B175" s="706">
        <v>2025</v>
      </c>
      <c r="C175" s="706" t="s">
        <v>1524</v>
      </c>
      <c r="D175" s="706" t="s">
        <v>1525</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G07066</v>
      </c>
      <c r="AK175" s="905" t="str">
        <f t="shared" si="13"/>
        <v>FR.REPRES 50% PIECES</v>
      </c>
      <c r="AL175" s="905">
        <f>IFERROR(INDEX(G175:R175,1,MATCH(Parametres!$B$3,G$1:R$1,0)-1)*IF(OR(F175="L",F175="S",F175="I"),-1,1),"")</f>
        <v>159.38999999999999</v>
      </c>
      <c r="AM175" s="905">
        <f t="shared" si="14"/>
        <v>0</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5"/>
        <v>G07066</v>
      </c>
      <c r="AU175" s="488" t="str">
        <f t="shared" si="16"/>
        <v>FR.REPRES 50% PIECES</v>
      </c>
      <c r="AV175" s="899">
        <f>IFERROR(INDEX(V175:AG175,1,MATCH(Parametres!$B$3,V$1:AG$1,0)-1)*IF(OR(C175="L",C175="S",C175="I"),-1,1),"")</f>
        <v>0</v>
      </c>
      <c r="AW175" s="899">
        <f t="shared" si="17"/>
        <v>0</v>
      </c>
      <c r="AX175" s="899">
        <f>INDEX(V175:AG175,1,MATCH(Parametres!$B$3,V$1:AG$1,0))*IF(OR(C175="L",C175="S",C175="I"),-1,1)</f>
        <v>0</v>
      </c>
      <c r="AY175" s="487" t="s">
        <v>337</v>
      </c>
      <c r="AZ175" s="487">
        <f>+VLOOKUP($AJ175,Data_Validation!$A:$E,5,0)</f>
        <v>0</v>
      </c>
    </row>
    <row r="176" spans="1:52" ht="15.75" customHeight="1">
      <c r="A176" s="706" t="s">
        <v>1148</v>
      </c>
      <c r="B176" s="706">
        <v>2025</v>
      </c>
      <c r="C176" s="706" t="s">
        <v>1526</v>
      </c>
      <c r="D176" s="706" t="s">
        <v>1527</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G0710</v>
      </c>
      <c r="AK176" s="905" t="str">
        <f t="shared" si="13"/>
        <v>COTISATIONS REP.</v>
      </c>
      <c r="AL176" s="905">
        <f>IFERROR(INDEX(G176:R176,1,MATCH(Parametres!$B$3,G$1:R$1,0)-1)*IF(OR(F176="L",F176="S",F176="I"),-1,1),"")</f>
        <v>0</v>
      </c>
      <c r="AM176" s="905">
        <f t="shared" si="14"/>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5"/>
        <v>G0710</v>
      </c>
      <c r="AU176" s="488" t="str">
        <f t="shared" si="16"/>
        <v>COTISATIONS REP.</v>
      </c>
      <c r="AV176" s="899">
        <f>IFERROR(INDEX(V176:AG176,1,MATCH(Parametres!$B$3,V$1:AG$1,0)-1)*IF(OR(C176="L",C176="S",C176="I"),-1,1),"")</f>
        <v>0</v>
      </c>
      <c r="AW176" s="899">
        <f t="shared" si="17"/>
        <v>0</v>
      </c>
      <c r="AX176" s="899">
        <f>INDEX(V176:AG176,1,MATCH(Parametres!$B$3,V$1:AG$1,0))*IF(OR(C176="L",C176="S",C176="I"),-1,1)</f>
        <v>0</v>
      </c>
      <c r="AY176" s="487" t="s">
        <v>337</v>
      </c>
      <c r="AZ176" s="487" t="e">
        <f>+VLOOKUP($AJ176,Data_Validation!$A:$E,5,0)</f>
        <v>#N/A</v>
      </c>
    </row>
    <row r="177" spans="1:52" ht="15" hidden="1" customHeight="1">
      <c r="A177" s="706" t="s">
        <v>1148</v>
      </c>
      <c r="B177" s="706">
        <v>2025</v>
      </c>
      <c r="C177" s="706" t="s">
        <v>1528</v>
      </c>
      <c r="D177" s="706" t="s">
        <v>1529</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G0711</v>
      </c>
      <c r="AK177" s="905" t="str">
        <f t="shared" si="13"/>
        <v>COTISATIONS-NEUFS</v>
      </c>
      <c r="AL177" s="905">
        <f>IFERROR(INDEX(G177:R177,1,MATCH(Parametres!$B$3,G$1:R$1,0)-1)*IF(OR(F177="L",F177="S",F177="I"),-1,1),"")</f>
        <v>12978.67</v>
      </c>
      <c r="AM177" s="905">
        <f t="shared" si="14"/>
        <v>2046.4300000000003</v>
      </c>
      <c r="AN177" s="905">
        <f>INDEX(G177:R177,1,MATCH(Parametres!$B$3,G$1:R$1,0))*IF(OR(F177="L",F177="S",F177="I"),-1,1)</f>
        <v>15025.1</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5"/>
        <v>G0711</v>
      </c>
      <c r="AU177" s="488" t="str">
        <f t="shared" si="16"/>
        <v>COTISATIONS-NEUFS</v>
      </c>
      <c r="AV177" s="899">
        <f>IFERROR(INDEX(V177:AG177,1,MATCH(Parametres!$B$3,V$1:AG$1,0)-1)*IF(OR(C177="L",C177="S",C177="I"),-1,1),"")</f>
        <v>0</v>
      </c>
      <c r="AW177" s="899">
        <f t="shared" si="17"/>
        <v>0</v>
      </c>
      <c r="AX177" s="899">
        <f>INDEX(V177:AG177,1,MATCH(Parametres!$B$3,V$1:AG$1,0))*IF(OR(C177="L",C177="S",C177="I"),-1,1)</f>
        <v>0</v>
      </c>
      <c r="AY177" s="487" t="s">
        <v>337</v>
      </c>
      <c r="AZ177" s="487">
        <f>+VLOOKUP($AJ177,Data_Validation!$A:$E,5,0)</f>
        <v>0</v>
      </c>
    </row>
    <row r="178" spans="1:52" ht="15" hidden="1" customHeight="1">
      <c r="A178" s="706" t="s">
        <v>1148</v>
      </c>
      <c r="B178" s="706">
        <v>2025</v>
      </c>
      <c r="C178" s="706" t="s">
        <v>1530</v>
      </c>
      <c r="D178" s="706" t="s">
        <v>1531</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G0712</v>
      </c>
      <c r="AK178" s="905" t="str">
        <f t="shared" si="13"/>
        <v>COTISATIONS-USAGES</v>
      </c>
      <c r="AL178" s="905">
        <f>IFERROR(INDEX(G178:R178,1,MATCH(Parametres!$B$3,G$1:R$1,0)-1)*IF(OR(F178="L",F178="S",F178="I"),-1,1),"")</f>
        <v>16463.87</v>
      </c>
      <c r="AM178" s="905">
        <f t="shared" si="14"/>
        <v>1405.3899999999994</v>
      </c>
      <c r="AN178" s="905">
        <f>INDEX(G178:R178,1,MATCH(Parametres!$B$3,G$1:R$1,0))*IF(OR(F178="L",F178="S",F178="I"),-1,1)</f>
        <v>17869.259999999998</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5"/>
        <v>G0712</v>
      </c>
      <c r="AU178" s="488" t="str">
        <f t="shared" si="16"/>
        <v>COTISATIONS-USAGES</v>
      </c>
      <c r="AV178" s="899">
        <f>IFERROR(INDEX(V178:AG178,1,MATCH(Parametres!$B$3,V$1:AG$1,0)-1)*IF(OR(C178="L",C178="S",C178="I"),-1,1),"")</f>
        <v>0</v>
      </c>
      <c r="AW178" s="899">
        <f t="shared" si="17"/>
        <v>0</v>
      </c>
      <c r="AX178" s="899">
        <f>INDEX(V178:AG178,1,MATCH(Parametres!$B$3,V$1:AG$1,0))*IF(OR(C178="L",C178="S",C178="I"),-1,1)</f>
        <v>0</v>
      </c>
      <c r="AY178" s="487" t="s">
        <v>337</v>
      </c>
      <c r="AZ178" s="487">
        <f>+VLOOKUP($AJ178,Data_Validation!$A:$E,5,0)</f>
        <v>0</v>
      </c>
    </row>
    <row r="179" spans="1:52" ht="15" hidden="1" customHeight="1">
      <c r="A179" s="706" t="s">
        <v>1148</v>
      </c>
      <c r="B179" s="706">
        <v>2025</v>
      </c>
      <c r="C179" s="706" t="s">
        <v>1532</v>
      </c>
      <c r="D179" s="706" t="s">
        <v>1533</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G0714</v>
      </c>
      <c r="AK179" s="905" t="str">
        <f t="shared" si="13"/>
        <v>COTISATIONS-SERVICE</v>
      </c>
      <c r="AL179" s="905">
        <f>IFERROR(INDEX(G179:R179,1,MATCH(Parametres!$B$3,G$1:R$1,0)-1)*IF(OR(F179="L",F179="S",F179="I"),-1,1),"")</f>
        <v>4644</v>
      </c>
      <c r="AM179" s="905">
        <f t="shared" si="14"/>
        <v>1232</v>
      </c>
      <c r="AN179" s="905">
        <f>INDEX(G179:R179,1,MATCH(Parametres!$B$3,G$1:R$1,0))*IF(OR(F179="L",F179="S",F179="I"),-1,1)</f>
        <v>5876</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5"/>
        <v>G0714</v>
      </c>
      <c r="AU179" s="488" t="str">
        <f t="shared" si="16"/>
        <v>COTISATIONS-SERVICE</v>
      </c>
      <c r="AV179" s="899">
        <f>IFERROR(INDEX(V179:AG179,1,MATCH(Parametres!$B$3,V$1:AG$1,0)-1)*IF(OR(C179="L",C179="S",C179="I"),-1,1),"")</f>
        <v>0</v>
      </c>
      <c r="AW179" s="899">
        <f t="shared" si="17"/>
        <v>0</v>
      </c>
      <c r="AX179" s="899">
        <f>INDEX(V179:AG179,1,MATCH(Parametres!$B$3,V$1:AG$1,0))*IF(OR(C179="L",C179="S",C179="I"),-1,1)</f>
        <v>0</v>
      </c>
      <c r="AY179" s="487" t="s">
        <v>337</v>
      </c>
      <c r="AZ179" s="487">
        <f>+VLOOKUP($AJ179,Data_Validation!$A:$E,5,0)</f>
        <v>0</v>
      </c>
    </row>
    <row r="180" spans="1:52" ht="15" hidden="1" customHeight="1">
      <c r="A180" s="706" t="s">
        <v>1148</v>
      </c>
      <c r="B180" s="706">
        <v>2025</v>
      </c>
      <c r="C180" s="706" t="s">
        <v>1534</v>
      </c>
      <c r="D180" s="706" t="s">
        <v>1535</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G0715</v>
      </c>
      <c r="AK180" s="905" t="str">
        <f t="shared" si="13"/>
        <v>COTISATIONS-CARROSS.</v>
      </c>
      <c r="AL180" s="905">
        <f>IFERROR(INDEX(G180:R180,1,MATCH(Parametres!$B$3,G$1:R$1,0)-1)*IF(OR(F180="L",F180="S",F180="I"),-1,1),"")</f>
        <v>12579.23</v>
      </c>
      <c r="AM180" s="905">
        <f t="shared" si="14"/>
        <v>1184.9300000000003</v>
      </c>
      <c r="AN180" s="905">
        <f>INDEX(G180:R180,1,MATCH(Parametres!$B$3,G$1:R$1,0))*IF(OR(F180="L",F180="S",F180="I"),-1,1)</f>
        <v>13764.16</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5"/>
        <v>G0715</v>
      </c>
      <c r="AU180" s="488" t="str">
        <f t="shared" si="16"/>
        <v>COTISATIONS-CARROSS.</v>
      </c>
      <c r="AV180" s="899">
        <f>IFERROR(INDEX(V180:AG180,1,MATCH(Parametres!$B$3,V$1:AG$1,0)-1)*IF(OR(C180="L",C180="S",C180="I"),-1,1),"")</f>
        <v>0</v>
      </c>
      <c r="AW180" s="899">
        <f t="shared" si="17"/>
        <v>0</v>
      </c>
      <c r="AX180" s="899">
        <f>INDEX(V180:AG180,1,MATCH(Parametres!$B$3,V$1:AG$1,0))*IF(OR(C180="L",C180="S",C180="I"),-1,1)</f>
        <v>0</v>
      </c>
      <c r="AY180" s="487" t="s">
        <v>337</v>
      </c>
      <c r="AZ180" s="487">
        <f>+VLOOKUP($AJ180,Data_Validation!$A:$E,5,0)</f>
        <v>0</v>
      </c>
    </row>
    <row r="181" spans="1:52" ht="15.75" hidden="1" customHeight="1">
      <c r="A181" s="706" t="s">
        <v>1148</v>
      </c>
      <c r="B181" s="706">
        <v>2025</v>
      </c>
      <c r="C181" s="706" t="s">
        <v>1538</v>
      </c>
      <c r="D181" s="706" t="s">
        <v>1539</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G0716</v>
      </c>
      <c r="AK181" s="905" t="str">
        <f t="shared" si="13"/>
        <v>COTISATIONS-PIECES</v>
      </c>
      <c r="AL181" s="905">
        <f>IFERROR(INDEX(G181:R181,1,MATCH(Parametres!$B$3,G$1:R$1,0)-1)*IF(OR(F181="L",F181="S",F181="I"),-1,1),"")</f>
        <v>7586.38</v>
      </c>
      <c r="AM181" s="905">
        <f t="shared" si="14"/>
        <v>1487.6999999999998</v>
      </c>
      <c r="AN181" s="905">
        <f>INDEX(G181:R181,1,MATCH(Parametres!$B$3,G$1:R$1,0))*IF(OR(F181="L",F181="S",F181="I"),-1,1)</f>
        <v>9074.08</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5"/>
        <v>G0716</v>
      </c>
      <c r="AU181" s="488" t="str">
        <f t="shared" si="16"/>
        <v>COTISATIONS-PIECES</v>
      </c>
      <c r="AV181" s="899">
        <f>IFERROR(INDEX(V181:AG181,1,MATCH(Parametres!$B$3,V$1:AG$1,0)-1)*IF(OR(C181="L",C181="S",C181="I"),-1,1),"")</f>
        <v>0</v>
      </c>
      <c r="AW181" s="899">
        <f t="shared" si="17"/>
        <v>0</v>
      </c>
      <c r="AX181" s="899">
        <f>INDEX(V181:AG181,1,MATCH(Parametres!$B$3,V$1:AG$1,0))*IF(OR(C181="L",C181="S",C181="I"),-1,1)</f>
        <v>0</v>
      </c>
      <c r="AY181" s="487" t="s">
        <v>337</v>
      </c>
      <c r="AZ181" s="487">
        <f>+VLOOKUP($AJ181,Data_Validation!$A:$E,5,0)</f>
        <v>0</v>
      </c>
    </row>
    <row r="182" spans="1:52" ht="15.75" customHeight="1">
      <c r="A182" s="706" t="s">
        <v>1148</v>
      </c>
      <c r="B182" s="706">
        <v>2025</v>
      </c>
      <c r="C182" s="706" t="s">
        <v>1540</v>
      </c>
      <c r="D182" s="706" t="s">
        <v>1541</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G0720</v>
      </c>
      <c r="AK182" s="905" t="str">
        <f t="shared" si="13"/>
        <v>HONORAIRES PROF. REP</v>
      </c>
      <c r="AL182" s="905">
        <f>IFERROR(INDEX(G182:R182,1,MATCH(Parametres!$B$3,G$1:R$1,0)-1)*IF(OR(F182="L",F182="S",F182="I"),-1,1),"")</f>
        <v>0</v>
      </c>
      <c r="AM182" s="905">
        <f t="shared" si="14"/>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5"/>
        <v>G0720</v>
      </c>
      <c r="AU182" s="488" t="str">
        <f t="shared" si="16"/>
        <v>HONORAIRES PROF. REP</v>
      </c>
      <c r="AV182" s="899">
        <f>IFERROR(INDEX(V182:AG182,1,MATCH(Parametres!$B$3,V$1:AG$1,0)-1)*IF(OR(C182="L",C182="S",C182="I"),-1,1),"")</f>
        <v>0</v>
      </c>
      <c r="AW182" s="899">
        <f t="shared" si="17"/>
        <v>0</v>
      </c>
      <c r="AX182" s="899">
        <f>INDEX(V182:AG182,1,MATCH(Parametres!$B$3,V$1:AG$1,0))*IF(OR(C182="L",C182="S",C182="I"),-1,1)</f>
        <v>0</v>
      </c>
      <c r="AY182" s="487" t="s">
        <v>337</v>
      </c>
      <c r="AZ182" s="487" t="e">
        <f>+VLOOKUP($AJ182,Data_Validation!$A:$E,5,0)</f>
        <v>#N/A</v>
      </c>
    </row>
    <row r="183" spans="1:52" ht="15.75" hidden="1" customHeight="1">
      <c r="A183" s="706" t="s">
        <v>1148</v>
      </c>
      <c r="B183" s="706">
        <v>2025</v>
      </c>
      <c r="C183" s="706" t="s">
        <v>1542</v>
      </c>
      <c r="D183" s="706" t="s">
        <v>1543</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G0721</v>
      </c>
      <c r="AK183" s="905" t="str">
        <f t="shared" si="13"/>
        <v>HONORAIRES PROF.-NEUFS</v>
      </c>
      <c r="AL183" s="905">
        <f>IFERROR(INDEX(G183:R183,1,MATCH(Parametres!$B$3,G$1:R$1,0)-1)*IF(OR(F183="L",F183="S",F183="I"),-1,1),"")</f>
        <v>7603.73</v>
      </c>
      <c r="AM183" s="905">
        <f t="shared" si="14"/>
        <v>3179.6000000000004</v>
      </c>
      <c r="AN183" s="905">
        <f>INDEX(G183:R183,1,MATCH(Parametres!$B$3,G$1:R$1,0))*IF(OR(F183="L",F183="S",F183="I"),-1,1)</f>
        <v>10783.33</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5"/>
        <v>G0721</v>
      </c>
      <c r="AU183" s="488" t="str">
        <f t="shared" si="16"/>
        <v>HONORAIRES PROF.-NEUFS</v>
      </c>
      <c r="AV183" s="899">
        <f>IFERROR(INDEX(V183:AG183,1,MATCH(Parametres!$B$3,V$1:AG$1,0)-1)*IF(OR(C183="L",C183="S",C183="I"),-1,1),"")</f>
        <v>0</v>
      </c>
      <c r="AW183" s="899">
        <f t="shared" si="17"/>
        <v>0</v>
      </c>
      <c r="AX183" s="899">
        <f>INDEX(V183:AG183,1,MATCH(Parametres!$B$3,V$1:AG$1,0))*IF(OR(C183="L",C183="S",C183="I"),-1,1)</f>
        <v>0</v>
      </c>
      <c r="AY183" s="487" t="s">
        <v>337</v>
      </c>
      <c r="AZ183" s="487">
        <f>+VLOOKUP($AJ183,Data_Validation!$A:$E,5,0)</f>
        <v>0</v>
      </c>
    </row>
    <row r="184" spans="1:52" ht="15.75" hidden="1" customHeight="1">
      <c r="A184" s="706" t="s">
        <v>1148</v>
      </c>
      <c r="B184" s="706">
        <v>2025</v>
      </c>
      <c r="C184" s="706" t="s">
        <v>1544</v>
      </c>
      <c r="D184" s="706" t="s">
        <v>1545</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G0722</v>
      </c>
      <c r="AK184" s="905" t="str">
        <f t="shared" si="13"/>
        <v>HONORAIRES PROF.-USAGES</v>
      </c>
      <c r="AL184" s="905">
        <f>IFERROR(INDEX(G184:R184,1,MATCH(Parametres!$B$3,G$1:R$1,0)-1)*IF(OR(F184="L",F184="S",F184="I"),-1,1),"")</f>
        <v>5069.1499999999996</v>
      </c>
      <c r="AM184" s="905">
        <f t="shared" si="14"/>
        <v>2036.4000000000005</v>
      </c>
      <c r="AN184" s="905">
        <f>INDEX(G184:R184,1,MATCH(Parametres!$B$3,G$1:R$1,0))*IF(OR(F184="L",F184="S",F184="I"),-1,1)</f>
        <v>7105.55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5"/>
        <v>G0722</v>
      </c>
      <c r="AU184" s="488" t="str">
        <f t="shared" si="16"/>
        <v>HONORAIRES PROF.-USAGES</v>
      </c>
      <c r="AV184" s="899">
        <f>IFERROR(INDEX(V184:AG184,1,MATCH(Parametres!$B$3,V$1:AG$1,0)-1)*IF(OR(C184="L",C184="S",C184="I"),-1,1),"")</f>
        <v>0</v>
      </c>
      <c r="AW184" s="899">
        <f t="shared" si="17"/>
        <v>0</v>
      </c>
      <c r="AX184" s="899">
        <f>INDEX(V184:AG184,1,MATCH(Parametres!$B$3,V$1:AG$1,0))*IF(OR(C184="L",C184="S",C184="I"),-1,1)</f>
        <v>0</v>
      </c>
      <c r="AY184" s="487" t="s">
        <v>337</v>
      </c>
      <c r="AZ184" s="487">
        <f>+VLOOKUP($AJ184,Data_Validation!$A:$E,5,0)</f>
        <v>0</v>
      </c>
    </row>
    <row r="185" spans="1:52" ht="15.75" hidden="1" customHeight="1">
      <c r="A185" s="706" t="s">
        <v>1148</v>
      </c>
      <c r="B185" s="706">
        <v>2025</v>
      </c>
      <c r="C185" s="706" t="s">
        <v>1546</v>
      </c>
      <c r="D185" s="706" t="s">
        <v>1547</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G0723</v>
      </c>
      <c r="AK185" s="905" t="str">
        <f t="shared" si="13"/>
        <v>HONORAIRES PROF. U.S.A</v>
      </c>
      <c r="AL185" s="905">
        <f>IFERROR(INDEX(G185:R185,1,MATCH(Parametres!$B$3,G$1:R$1,0)-1)*IF(OR(F185="L",F185="S",F185="I"),-1,1),"")</f>
        <v>0</v>
      </c>
      <c r="AM185" s="905">
        <f t="shared" si="14"/>
        <v>0</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5"/>
        <v>G0723</v>
      </c>
      <c r="AU185" s="488" t="str">
        <f t="shared" si="16"/>
        <v>HONORAIRES PROF. U.S.A</v>
      </c>
      <c r="AV185" s="899">
        <f>IFERROR(INDEX(V185:AG185,1,MATCH(Parametres!$B$3,V$1:AG$1,0)-1)*IF(OR(C185="L",C185="S",C185="I"),-1,1),"")</f>
        <v>0</v>
      </c>
      <c r="AW185" s="899">
        <f t="shared" si="17"/>
        <v>0</v>
      </c>
      <c r="AX185" s="899">
        <f>INDEX(V185:AG185,1,MATCH(Parametres!$B$3,V$1:AG$1,0))*IF(OR(C185="L",C185="S",C185="I"),-1,1)</f>
        <v>0</v>
      </c>
      <c r="AY185" s="487" t="s">
        <v>337</v>
      </c>
      <c r="AZ185" s="487">
        <f>+VLOOKUP($AJ185,Data_Validation!$A:$E,5,0)</f>
        <v>0</v>
      </c>
    </row>
    <row r="186" spans="1:52" ht="15.75" hidden="1" customHeight="1">
      <c r="A186" s="706" t="s">
        <v>1148</v>
      </c>
      <c r="B186" s="706">
        <v>2025</v>
      </c>
      <c r="C186" s="706" t="s">
        <v>1548</v>
      </c>
      <c r="D186" s="706" t="s">
        <v>1549</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G0724</v>
      </c>
      <c r="AK186" s="905" t="str">
        <f t="shared" si="13"/>
        <v>HONORAIRES PROF.-SERVICE</v>
      </c>
      <c r="AL186" s="905">
        <f>IFERROR(INDEX(G186:R186,1,MATCH(Parametres!$B$3,G$1:R$1,0)-1)*IF(OR(F186="L",F186="S",F186="I"),-1,1),"")</f>
        <v>9141.15</v>
      </c>
      <c r="AM186" s="905">
        <f t="shared" si="14"/>
        <v>3351.6000000000004</v>
      </c>
      <c r="AN186" s="905">
        <f>INDEX(G186:R186,1,MATCH(Parametres!$B$3,G$1:R$1,0))*IF(OR(F186="L",F186="S",F186="I"),-1,1)</f>
        <v>12492.75</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5"/>
        <v>G0724</v>
      </c>
      <c r="AU186" s="488" t="str">
        <f t="shared" si="16"/>
        <v>HONORAIRES PROF.-SERVICE</v>
      </c>
      <c r="AV186" s="899">
        <f>IFERROR(INDEX(V186:AG186,1,MATCH(Parametres!$B$3,V$1:AG$1,0)-1)*IF(OR(C186="L",C186="S",C186="I"),-1,1),"")</f>
        <v>0</v>
      </c>
      <c r="AW186" s="899">
        <f t="shared" si="17"/>
        <v>0</v>
      </c>
      <c r="AX186" s="899">
        <f>INDEX(V186:AG186,1,MATCH(Parametres!$B$3,V$1:AG$1,0))*IF(OR(C186="L",C186="S",C186="I"),-1,1)</f>
        <v>0</v>
      </c>
      <c r="AY186" s="487" t="s">
        <v>337</v>
      </c>
      <c r="AZ186" s="487">
        <f>+VLOOKUP($AJ186,Data_Validation!$A:$E,5,0)</f>
        <v>0</v>
      </c>
    </row>
    <row r="187" spans="1:52" ht="15" hidden="1" customHeight="1">
      <c r="A187" s="706" t="s">
        <v>1148</v>
      </c>
      <c r="B187" s="706">
        <v>2025</v>
      </c>
      <c r="C187" s="706" t="s">
        <v>1550</v>
      </c>
      <c r="D187" s="706" t="s">
        <v>1551</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G0725</v>
      </c>
      <c r="AK187" s="905" t="str">
        <f t="shared" si="13"/>
        <v>HONORAIRES PORF.-CARROSS.</v>
      </c>
      <c r="AL187" s="905">
        <f>IFERROR(INDEX(G187:R187,1,MATCH(Parametres!$B$3,G$1:R$1,0)-1)*IF(OR(F187="L",F187="S",F187="I"),-1,1),"")</f>
        <v>3544</v>
      </c>
      <c r="AM187" s="905">
        <f t="shared" si="14"/>
        <v>1018.1999999999998</v>
      </c>
      <c r="AN187" s="905">
        <f>INDEX(G187:R187,1,MATCH(Parametres!$B$3,G$1:R$1,0))*IF(OR(F187="L",F187="S",F187="I"),-1,1)</f>
        <v>4562.2</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5"/>
        <v>G0725</v>
      </c>
      <c r="AU187" s="488" t="str">
        <f t="shared" si="16"/>
        <v>HONORAIRES PORF.-CARROSS.</v>
      </c>
      <c r="AV187" s="899">
        <f>IFERROR(INDEX(V187:AG187,1,MATCH(Parametres!$B$3,V$1:AG$1,0)-1)*IF(OR(C187="L",C187="S",C187="I"),-1,1),"")</f>
        <v>0</v>
      </c>
      <c r="AW187" s="899">
        <f t="shared" si="17"/>
        <v>0</v>
      </c>
      <c r="AX187" s="899">
        <f>INDEX(V187:AG187,1,MATCH(Parametres!$B$3,V$1:AG$1,0))*IF(OR(C187="L",C187="S",C187="I"),-1,1)</f>
        <v>0</v>
      </c>
      <c r="AY187" s="487" t="s">
        <v>337</v>
      </c>
      <c r="AZ187" s="487">
        <f>+VLOOKUP($AJ187,Data_Validation!$A:$E,5,0)</f>
        <v>0</v>
      </c>
    </row>
    <row r="188" spans="1:52" ht="15" hidden="1" customHeight="1">
      <c r="A188" s="706" t="s">
        <v>1148</v>
      </c>
      <c r="B188" s="706">
        <v>2025</v>
      </c>
      <c r="C188" s="706" t="s">
        <v>1552</v>
      </c>
      <c r="D188" s="706" t="s">
        <v>1553</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G0726</v>
      </c>
      <c r="AK188" s="905" t="str">
        <f t="shared" si="13"/>
        <v>HONORAIRES PROF.-PIECES</v>
      </c>
      <c r="AL188" s="905">
        <f>IFERROR(INDEX(G188:R188,1,MATCH(Parametres!$B$3,G$1:R$1,0)-1)*IF(OR(F188="L",F188="S",F188="I"),-1,1),"")</f>
        <v>3039.27</v>
      </c>
      <c r="AM188" s="905">
        <f t="shared" si="14"/>
        <v>1018.1999999999998</v>
      </c>
      <c r="AN188" s="905">
        <f>INDEX(G188:R188,1,MATCH(Parametres!$B$3,G$1:R$1,0))*IF(OR(F188="L",F188="S",F188="I"),-1,1)</f>
        <v>4057.47</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5"/>
        <v>G0726</v>
      </c>
      <c r="AU188" s="488" t="str">
        <f t="shared" si="16"/>
        <v>HONORAIRES PROF.-PIECES</v>
      </c>
      <c r="AV188" s="899">
        <f>IFERROR(INDEX(V188:AG188,1,MATCH(Parametres!$B$3,V$1:AG$1,0)-1)*IF(OR(C188="L",C188="S",C188="I"),-1,1),"")</f>
        <v>0</v>
      </c>
      <c r="AW188" s="899">
        <f t="shared" si="17"/>
        <v>0</v>
      </c>
      <c r="AX188" s="899">
        <f>INDEX(V188:AG188,1,MATCH(Parametres!$B$3,V$1:AG$1,0))*IF(OR(C188="L",C188="S",C188="I"),-1,1)</f>
        <v>0</v>
      </c>
      <c r="AY188" s="487" t="s">
        <v>337</v>
      </c>
      <c r="AZ188" s="487">
        <f>+VLOOKUP($AJ188,Data_Validation!$A:$E,5,0)</f>
        <v>0</v>
      </c>
    </row>
    <row r="189" spans="1:52" ht="15" customHeight="1">
      <c r="A189" s="706" t="s">
        <v>1148</v>
      </c>
      <c r="B189" s="706">
        <v>2025</v>
      </c>
      <c r="C189" s="706" t="s">
        <v>1554</v>
      </c>
      <c r="D189" s="706" t="s">
        <v>1555</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G0740</v>
      </c>
      <c r="AK189" s="905" t="str">
        <f t="shared" si="13"/>
        <v>TELEPHONE REP.</v>
      </c>
      <c r="AL189" s="905">
        <f>IFERROR(INDEX(G189:R189,1,MATCH(Parametres!$B$3,G$1:R$1,0)-1)*IF(OR(F189="L",F189="S",F189="I"),-1,1),"")</f>
        <v>0</v>
      </c>
      <c r="AM189" s="905">
        <f t="shared" si="14"/>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5"/>
        <v>G0740</v>
      </c>
      <c r="AU189" s="488" t="str">
        <f t="shared" si="16"/>
        <v>TELEPHONE REP.</v>
      </c>
      <c r="AV189" s="899">
        <f>IFERROR(INDEX(V189:AG189,1,MATCH(Parametres!$B$3,V$1:AG$1,0)-1)*IF(OR(C189="L",C189="S",C189="I"),-1,1),"")</f>
        <v>0</v>
      </c>
      <c r="AW189" s="899">
        <f t="shared" si="17"/>
        <v>0</v>
      </c>
      <c r="AX189" s="899">
        <f>INDEX(V189:AG189,1,MATCH(Parametres!$B$3,V$1:AG$1,0))*IF(OR(C189="L",C189="S",C189="I"),-1,1)</f>
        <v>0</v>
      </c>
      <c r="AY189" s="487" t="s">
        <v>337</v>
      </c>
      <c r="AZ189" s="487" t="e">
        <f>+VLOOKUP($AJ189,Data_Validation!$A:$E,5,0)</f>
        <v>#N/A</v>
      </c>
    </row>
    <row r="190" spans="1:52" ht="15" hidden="1" customHeight="1">
      <c r="A190" s="706" t="s">
        <v>1148</v>
      </c>
      <c r="B190" s="706">
        <v>2025</v>
      </c>
      <c r="C190" s="706" t="s">
        <v>1556</v>
      </c>
      <c r="D190" s="706" t="s">
        <v>1557</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G0741</v>
      </c>
      <c r="AK190" s="905" t="str">
        <f t="shared" si="13"/>
        <v>TELEPHONE-NEUFS</v>
      </c>
      <c r="AL190" s="905">
        <f>IFERROR(INDEX(G190:R190,1,MATCH(Parametres!$B$3,G$1:R$1,0)-1)*IF(OR(F190="L",F190="S",F190="I"),-1,1),"")</f>
        <v>8741.1299999999992</v>
      </c>
      <c r="AM190" s="905">
        <f t="shared" si="14"/>
        <v>525.97000000000116</v>
      </c>
      <c r="AN190" s="905">
        <f>INDEX(G190:R190,1,MATCH(Parametres!$B$3,G$1:R$1,0))*IF(OR(F190="L",F190="S",F190="I"),-1,1)</f>
        <v>9267.1</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5"/>
        <v>G0741</v>
      </c>
      <c r="AU190" s="488" t="str">
        <f t="shared" si="16"/>
        <v>TELEPHONE-NEUFS</v>
      </c>
      <c r="AV190" s="899">
        <f>IFERROR(INDEX(V190:AG190,1,MATCH(Parametres!$B$3,V$1:AG$1,0)-1)*IF(OR(C190="L",C190="S",C190="I"),-1,1),"")</f>
        <v>0</v>
      </c>
      <c r="AW190" s="899">
        <f t="shared" si="17"/>
        <v>0</v>
      </c>
      <c r="AX190" s="899">
        <f>INDEX(V190:AG190,1,MATCH(Parametres!$B$3,V$1:AG$1,0))*IF(OR(C190="L",C190="S",C190="I"),-1,1)</f>
        <v>0</v>
      </c>
      <c r="AY190" s="487" t="s">
        <v>337</v>
      </c>
      <c r="AZ190" s="487">
        <f>+VLOOKUP($AJ190,Data_Validation!$A:$E,5,0)</f>
        <v>0</v>
      </c>
    </row>
    <row r="191" spans="1:52" ht="15" hidden="1" customHeight="1">
      <c r="A191" s="706" t="s">
        <v>1148</v>
      </c>
      <c r="B191" s="706">
        <v>2025</v>
      </c>
      <c r="C191" s="706" t="s">
        <v>1558</v>
      </c>
      <c r="D191" s="706" t="s">
        <v>1559</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G0742</v>
      </c>
      <c r="AK191" s="905" t="str">
        <f t="shared" si="13"/>
        <v>TELEPHONE-USAGES</v>
      </c>
      <c r="AL191" s="905">
        <f>IFERROR(INDEX(G191:R191,1,MATCH(Parametres!$B$3,G$1:R$1,0)-1)*IF(OR(F191="L",F191="S",F191="I"),-1,1),"")</f>
        <v>5555.76</v>
      </c>
      <c r="AM191" s="905">
        <f t="shared" si="14"/>
        <v>350.63999999999942</v>
      </c>
      <c r="AN191" s="905">
        <f>INDEX(G191:R191,1,MATCH(Parametres!$B$3,G$1:R$1,0))*IF(OR(F191="L",F191="S",F191="I"),-1,1)</f>
        <v>5906.4</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5"/>
        <v>G0742</v>
      </c>
      <c r="AU191" s="488" t="str">
        <f t="shared" si="16"/>
        <v>TELEPHONE-USAGES</v>
      </c>
      <c r="AV191" s="899">
        <f>IFERROR(INDEX(V191:AG191,1,MATCH(Parametres!$B$3,V$1:AG$1,0)-1)*IF(OR(C191="L",C191="S",C191="I"),-1,1),"")</f>
        <v>0</v>
      </c>
      <c r="AW191" s="899">
        <f t="shared" si="17"/>
        <v>0</v>
      </c>
      <c r="AX191" s="899">
        <f>INDEX(V191:AG191,1,MATCH(Parametres!$B$3,V$1:AG$1,0))*IF(OR(C191="L",C191="S",C191="I"),-1,1)</f>
        <v>0</v>
      </c>
      <c r="AY191" s="487" t="s">
        <v>337</v>
      </c>
      <c r="AZ191" s="487">
        <f>+VLOOKUP($AJ191,Data_Validation!$A:$E,5,0)</f>
        <v>0</v>
      </c>
    </row>
    <row r="192" spans="1:52" ht="15" hidden="1" customHeight="1">
      <c r="A192" s="706" t="s">
        <v>1148</v>
      </c>
      <c r="B192" s="706">
        <v>2025</v>
      </c>
      <c r="C192" s="706" t="s">
        <v>1560</v>
      </c>
      <c r="D192" s="706" t="s">
        <v>1561</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G0743</v>
      </c>
      <c r="AK192" s="905" t="str">
        <f t="shared" si="13"/>
        <v>TELEPHONE U.S.A</v>
      </c>
      <c r="AL192" s="905">
        <f>IFERROR(INDEX(G192:R192,1,MATCH(Parametres!$B$3,G$1:R$1,0)-1)*IF(OR(F192="L",F192="S",F192="I"),-1,1),"")</f>
        <v>525.91</v>
      </c>
      <c r="AM192" s="905">
        <f t="shared" si="14"/>
        <v>0</v>
      </c>
      <c r="AN192" s="905">
        <f>INDEX(G192:R192,1,MATCH(Parametres!$B$3,G$1:R$1,0))*IF(OR(F192="L",F192="S",F192="I"),-1,1)</f>
        <v>525.91</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5"/>
        <v>G0743</v>
      </c>
      <c r="AU192" s="488" t="str">
        <f t="shared" si="16"/>
        <v>TELEPHONE U.S.A</v>
      </c>
      <c r="AV192" s="899">
        <f>IFERROR(INDEX(V192:AG192,1,MATCH(Parametres!$B$3,V$1:AG$1,0)-1)*IF(OR(C192="L",C192="S",C192="I"),-1,1),"")</f>
        <v>0</v>
      </c>
      <c r="AW192" s="899">
        <f t="shared" si="17"/>
        <v>0</v>
      </c>
      <c r="AX192" s="899">
        <f>INDEX(V192:AG192,1,MATCH(Parametres!$B$3,V$1:AG$1,0))*IF(OR(C192="L",C192="S",C192="I"),-1,1)</f>
        <v>0</v>
      </c>
      <c r="AY192" s="487" t="s">
        <v>337</v>
      </c>
      <c r="AZ192" s="487">
        <f>+VLOOKUP($AJ192,Data_Validation!$A:$E,5,0)</f>
        <v>0</v>
      </c>
    </row>
    <row r="193" spans="1:52" ht="15" hidden="1" customHeight="1">
      <c r="A193" s="706" t="s">
        <v>1148</v>
      </c>
      <c r="B193" s="706">
        <v>2025</v>
      </c>
      <c r="C193" s="706" t="s">
        <v>1562</v>
      </c>
      <c r="D193" s="706" t="s">
        <v>1563</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G0744</v>
      </c>
      <c r="AK193" s="905" t="str">
        <f t="shared" si="13"/>
        <v>TELEPHONE-SERVICE</v>
      </c>
      <c r="AL193" s="905">
        <f>IFERROR(INDEX(G193:R193,1,MATCH(Parametres!$B$3,G$1:R$1,0)-1)*IF(OR(F193="L",F193="S",F193="I"),-1,1),"")</f>
        <v>9353.5400000000009</v>
      </c>
      <c r="AM193" s="905">
        <f t="shared" si="14"/>
        <v>608.46999999999935</v>
      </c>
      <c r="AN193" s="905">
        <f>INDEX(G193:R193,1,MATCH(Parametres!$B$3,G$1:R$1,0))*IF(OR(F193="L",F193="S",F193="I"),-1,1)</f>
        <v>9962.01</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5"/>
        <v>G0744</v>
      </c>
      <c r="AU193" s="488" t="str">
        <f t="shared" si="16"/>
        <v>TELEPHONE-SERVICE</v>
      </c>
      <c r="AV193" s="899">
        <f>IFERROR(INDEX(V193:AG193,1,MATCH(Parametres!$B$3,V$1:AG$1,0)-1)*IF(OR(C193="L",C193="S",C193="I"),-1,1),"")</f>
        <v>0</v>
      </c>
      <c r="AW193" s="899">
        <f t="shared" si="17"/>
        <v>0</v>
      </c>
      <c r="AX193" s="899">
        <f>INDEX(V193:AG193,1,MATCH(Parametres!$B$3,V$1:AG$1,0))*IF(OR(C193="L",C193="S",C193="I"),-1,1)</f>
        <v>0</v>
      </c>
      <c r="AY193" s="487" t="s">
        <v>337</v>
      </c>
      <c r="AZ193" s="487">
        <f>+VLOOKUP($AJ193,Data_Validation!$A:$E,5,0)</f>
        <v>0</v>
      </c>
    </row>
    <row r="194" spans="1:52" ht="15.75" hidden="1" customHeight="1">
      <c r="A194" s="706" t="s">
        <v>1148</v>
      </c>
      <c r="B194" s="706">
        <v>2025</v>
      </c>
      <c r="C194" s="706" t="s">
        <v>1564</v>
      </c>
      <c r="D194" s="706" t="s">
        <v>1565</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G0745</v>
      </c>
      <c r="AK194" s="905" t="str">
        <f t="shared" si="13"/>
        <v>TELEPHONE-CARROSSERIE</v>
      </c>
      <c r="AL194" s="905">
        <f>IFERROR(INDEX(G194:R194,1,MATCH(Parametres!$B$3,G$1:R$1,0)-1)*IF(OR(F194="L",F194="S",F194="I"),-1,1),"")</f>
        <v>2777.89</v>
      </c>
      <c r="AM194" s="905">
        <f t="shared" si="14"/>
        <v>175.32999999999993</v>
      </c>
      <c r="AN194" s="905">
        <f>INDEX(G194:R194,1,MATCH(Parametres!$B$3,G$1:R$1,0))*IF(OR(F194="L",F194="S",F194="I"),-1,1)</f>
        <v>2953.22</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5"/>
        <v>G0745</v>
      </c>
      <c r="AU194" s="488" t="str">
        <f t="shared" si="16"/>
        <v>TELEPHONE-CARROSSERIE</v>
      </c>
      <c r="AV194" s="899">
        <f>IFERROR(INDEX(V194:AG194,1,MATCH(Parametres!$B$3,V$1:AG$1,0)-1)*IF(OR(C194="L",C194="S",C194="I"),-1,1),"")</f>
        <v>0</v>
      </c>
      <c r="AW194" s="899">
        <f t="shared" si="17"/>
        <v>0</v>
      </c>
      <c r="AX194" s="899">
        <f>INDEX(V194:AG194,1,MATCH(Parametres!$B$3,V$1:AG$1,0))*IF(OR(C194="L",C194="S",C194="I"),-1,1)</f>
        <v>0</v>
      </c>
      <c r="AY194" s="487" t="s">
        <v>337</v>
      </c>
      <c r="AZ194" s="487">
        <f>+VLOOKUP($AJ194,Data_Validation!$A:$E,5,0)</f>
        <v>0</v>
      </c>
    </row>
    <row r="195" spans="1:52" ht="15" hidden="1" customHeight="1">
      <c r="A195" s="706" t="s">
        <v>1148</v>
      </c>
      <c r="B195" s="706">
        <v>2025</v>
      </c>
      <c r="C195" s="706" t="s">
        <v>1566</v>
      </c>
      <c r="D195" s="706" t="s">
        <v>1567</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G0746</v>
      </c>
      <c r="AK195" s="905" t="str">
        <f t="shared" si="13"/>
        <v>TELEPHONE-PIECES</v>
      </c>
      <c r="AL195" s="905">
        <f>IFERROR(INDEX(G195:R195,1,MATCH(Parametres!$B$3,G$1:R$1,0)-1)*IF(OR(F195="L",F195="S",F195="I"),-1,1),"")</f>
        <v>2847.81</v>
      </c>
      <c r="AM195" s="905">
        <f t="shared" si="14"/>
        <v>175.32000000000016</v>
      </c>
      <c r="AN195" s="905">
        <f>INDEX(G195:R195,1,MATCH(Parametres!$B$3,G$1:R$1,0))*IF(OR(F195="L",F195="S",F195="I"),-1,1)</f>
        <v>3023.13</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5"/>
        <v>G0746</v>
      </c>
      <c r="AU195" s="488" t="str">
        <f t="shared" si="16"/>
        <v>TELEPHONE-PIECES</v>
      </c>
      <c r="AV195" s="899">
        <f>IFERROR(INDEX(V195:AG195,1,MATCH(Parametres!$B$3,V$1:AG$1,0)-1)*IF(OR(C195="L",C195="S",C195="I"),-1,1),"")</f>
        <v>0</v>
      </c>
      <c r="AW195" s="899">
        <f t="shared" si="17"/>
        <v>0</v>
      </c>
      <c r="AX195" s="899">
        <f>INDEX(V195:AG195,1,MATCH(Parametres!$B$3,V$1:AG$1,0))*IF(OR(C195="L",C195="S",C195="I"),-1,1)</f>
        <v>0</v>
      </c>
      <c r="AY195" s="487" t="s">
        <v>337</v>
      </c>
      <c r="AZ195" s="487">
        <f>+VLOOKUP($AJ195,Data_Validation!$A:$E,5,0)</f>
        <v>0</v>
      </c>
    </row>
    <row r="196" spans="1:52" ht="15" customHeight="1">
      <c r="A196" s="706" t="s">
        <v>1148</v>
      </c>
      <c r="B196" s="706">
        <v>2025</v>
      </c>
      <c r="C196" s="706" t="s">
        <v>1568</v>
      </c>
      <c r="D196" s="706" t="s">
        <v>1569</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G0750</v>
      </c>
      <c r="AK196" s="905" t="str">
        <f t="shared" ref="AK196:AK259" si="19">D196</f>
        <v>FORMATION REP</v>
      </c>
      <c r="AL196" s="905">
        <f>IFERROR(INDEX(G196:R196,1,MATCH(Parametres!$B$3,G$1:R$1,0)-1)*IF(OR(F196="L",F196="S",F196="I"),-1,1),"")</f>
        <v>0</v>
      </c>
      <c r="AM196" s="905">
        <f t="shared" ref="AM196:AM259" si="20">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T259" si="21">C196</f>
        <v>G0750</v>
      </c>
      <c r="AU196" s="488" t="str">
        <f t="shared" ref="AU196:AU259" si="22">D196</f>
        <v>FORMATION REP</v>
      </c>
      <c r="AV196" s="899">
        <f>IFERROR(INDEX(V196:AG196,1,MATCH(Parametres!$B$3,V$1:AG$1,0)-1)*IF(OR(C196="L",C196="S",C196="I"),-1,1),"")</f>
        <v>0</v>
      </c>
      <c r="AW196" s="899">
        <f t="shared" ref="AW196:AW259" si="23">AX196-AV196</f>
        <v>0</v>
      </c>
      <c r="AX196" s="899">
        <f>INDEX(V196:AG196,1,MATCH(Parametres!$B$3,V$1:AG$1,0))*IF(OR(C196="L",C196="S",C196="I"),-1,1)</f>
        <v>0</v>
      </c>
      <c r="AY196" s="487" t="s">
        <v>337</v>
      </c>
      <c r="AZ196" s="487" t="e">
        <f>+VLOOKUP($AJ196,Data_Validation!$A:$E,5,0)</f>
        <v>#N/A</v>
      </c>
    </row>
    <row r="197" spans="1:52" ht="15" hidden="1" customHeight="1">
      <c r="A197" s="706" t="s">
        <v>1148</v>
      </c>
      <c r="B197" s="706">
        <v>2025</v>
      </c>
      <c r="C197" s="706" t="s">
        <v>1570</v>
      </c>
      <c r="D197" s="706" t="s">
        <v>1571</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G0751</v>
      </c>
      <c r="AK197" s="905" t="str">
        <f t="shared" si="19"/>
        <v>FORMATION-NEUFS</v>
      </c>
      <c r="AL197" s="905">
        <f>IFERROR(INDEX(G197:R197,1,MATCH(Parametres!$B$3,G$1:R$1,0)-1)*IF(OR(F197="L",F197="S",F197="I"),-1,1),"")</f>
        <v>6711.03</v>
      </c>
      <c r="AM197" s="905">
        <f t="shared" si="20"/>
        <v>665</v>
      </c>
      <c r="AN197" s="905">
        <f>INDEX(G197:R197,1,MATCH(Parametres!$B$3,G$1:R$1,0))*IF(OR(F197="L",F197="S",F197="I"),-1,1)</f>
        <v>7376.03</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21"/>
        <v>G0751</v>
      </c>
      <c r="AU197" s="488" t="str">
        <f t="shared" si="22"/>
        <v>FORMATION-NEUFS</v>
      </c>
      <c r="AV197" s="899">
        <f>IFERROR(INDEX(V197:AG197,1,MATCH(Parametres!$B$3,V$1:AG$1,0)-1)*IF(OR(C197="L",C197="S",C197="I"),-1,1),"")</f>
        <v>0</v>
      </c>
      <c r="AW197" s="899">
        <f t="shared" si="23"/>
        <v>0</v>
      </c>
      <c r="AX197" s="899">
        <f>INDEX(V197:AG197,1,MATCH(Parametres!$B$3,V$1:AG$1,0))*IF(OR(C197="L",C197="S",C197="I"),-1,1)</f>
        <v>0</v>
      </c>
      <c r="AY197" s="487" t="s">
        <v>337</v>
      </c>
      <c r="AZ197" s="487">
        <f>+VLOOKUP($AJ197,Data_Validation!$A:$E,5,0)</f>
        <v>0</v>
      </c>
    </row>
    <row r="198" spans="1:52" ht="15" hidden="1" customHeight="1">
      <c r="A198" s="706" t="s">
        <v>1148</v>
      </c>
      <c r="B198" s="706">
        <v>2025</v>
      </c>
      <c r="C198" s="706" t="s">
        <v>1572</v>
      </c>
      <c r="D198" s="706" t="s">
        <v>1573</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G0752</v>
      </c>
      <c r="AK198" s="905" t="str">
        <f t="shared" si="19"/>
        <v>FORMATION-USAGES</v>
      </c>
      <c r="AL198" s="905">
        <f>IFERROR(INDEX(G198:R198,1,MATCH(Parametres!$B$3,G$1:R$1,0)-1)*IF(OR(F198="L",F198="S",F198="I"),-1,1),"")</f>
        <v>464</v>
      </c>
      <c r="AM198" s="905">
        <f t="shared" si="20"/>
        <v>0</v>
      </c>
      <c r="AN198" s="905">
        <f>INDEX(G198:R198,1,MATCH(Parametres!$B$3,G$1:R$1,0))*IF(OR(F198="L",F198="S",F198="I"),-1,1)</f>
        <v>464</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21"/>
        <v>G0752</v>
      </c>
      <c r="AU198" s="488" t="str">
        <f t="shared" si="22"/>
        <v>FORMATION-USAGES</v>
      </c>
      <c r="AV198" s="899">
        <f>IFERROR(INDEX(V198:AG198,1,MATCH(Parametres!$B$3,V$1:AG$1,0)-1)*IF(OR(C198="L",C198="S",C198="I"),-1,1),"")</f>
        <v>0</v>
      </c>
      <c r="AW198" s="899">
        <f t="shared" si="23"/>
        <v>0</v>
      </c>
      <c r="AX198" s="899">
        <f>INDEX(V198:AG198,1,MATCH(Parametres!$B$3,V$1:AG$1,0))*IF(OR(C198="L",C198="S",C198="I"),-1,1)</f>
        <v>0</v>
      </c>
      <c r="AY198" s="487" t="s">
        <v>337</v>
      </c>
      <c r="AZ198" s="487">
        <f>+VLOOKUP($AJ198,Data_Validation!$A:$E,5,0)</f>
        <v>0</v>
      </c>
    </row>
    <row r="199" spans="1:52" ht="15.75" hidden="1" customHeight="1">
      <c r="A199" s="706" t="s">
        <v>1148</v>
      </c>
      <c r="B199" s="706">
        <v>2025</v>
      </c>
      <c r="C199" s="706" t="s">
        <v>1574</v>
      </c>
      <c r="D199" s="706" t="s">
        <v>1575</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G0753</v>
      </c>
      <c r="AK199" s="905" t="str">
        <f t="shared" si="19"/>
        <v>FORMATION U.S.A.</v>
      </c>
      <c r="AL199" s="905">
        <f>IFERROR(INDEX(G199:R199,1,MATCH(Parametres!$B$3,G$1:R$1,0)-1)*IF(OR(F199="L",F199="S",F199="I"),-1,1),"")</f>
        <v>0</v>
      </c>
      <c r="AM199" s="905">
        <f t="shared" si="20"/>
        <v>0</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21"/>
        <v>G0753</v>
      </c>
      <c r="AU199" s="488" t="str">
        <f t="shared" si="22"/>
        <v>FORMATION U.S.A.</v>
      </c>
      <c r="AV199" s="899">
        <f>IFERROR(INDEX(V199:AG199,1,MATCH(Parametres!$B$3,V$1:AG$1,0)-1)*IF(OR(C199="L",C199="S",C199="I"),-1,1),"")</f>
        <v>0</v>
      </c>
      <c r="AW199" s="899">
        <f t="shared" si="23"/>
        <v>0</v>
      </c>
      <c r="AX199" s="899">
        <f>INDEX(V199:AG199,1,MATCH(Parametres!$B$3,V$1:AG$1,0))*IF(OR(C199="L",C199="S",C199="I"),-1,1)</f>
        <v>0</v>
      </c>
      <c r="AY199" s="487" t="s">
        <v>337</v>
      </c>
      <c r="AZ199" s="487">
        <f>+VLOOKUP($AJ199,Data_Validation!$A:$E,5,0)</f>
        <v>0</v>
      </c>
    </row>
    <row r="200" spans="1:52" ht="15" hidden="1" customHeight="1">
      <c r="A200" s="706" t="s">
        <v>1148</v>
      </c>
      <c r="B200" s="706">
        <v>2025</v>
      </c>
      <c r="C200" s="706" t="s">
        <v>1576</v>
      </c>
      <c r="D200" s="706" t="s">
        <v>1577</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G0754</v>
      </c>
      <c r="AK200" s="905" t="str">
        <f t="shared" si="19"/>
        <v>FORMATION-SERVICE</v>
      </c>
      <c r="AL200" s="905">
        <f>IFERROR(INDEX(G200:R200,1,MATCH(Parametres!$B$3,G$1:R$1,0)-1)*IF(OR(F200="L",F200="S",F200="I"),-1,1),"")</f>
        <v>21332.080000000002</v>
      </c>
      <c r="AM200" s="905">
        <f t="shared" si="20"/>
        <v>6451.8499999999985</v>
      </c>
      <c r="AN200" s="905">
        <f>INDEX(G200:R200,1,MATCH(Parametres!$B$3,G$1:R$1,0))*IF(OR(F200="L",F200="S",F200="I"),-1,1)</f>
        <v>27783.93</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21"/>
        <v>G0754</v>
      </c>
      <c r="AU200" s="488" t="str">
        <f t="shared" si="22"/>
        <v>FORMATION-SERVICE</v>
      </c>
      <c r="AV200" s="899">
        <f>IFERROR(INDEX(V200:AG200,1,MATCH(Parametres!$B$3,V$1:AG$1,0)-1)*IF(OR(C200="L",C200="S",C200="I"),-1,1),"")</f>
        <v>0</v>
      </c>
      <c r="AW200" s="899">
        <f t="shared" si="23"/>
        <v>0</v>
      </c>
      <c r="AX200" s="899">
        <f>INDEX(V200:AG200,1,MATCH(Parametres!$B$3,V$1:AG$1,0))*IF(OR(C200="L",C200="S",C200="I"),-1,1)</f>
        <v>0</v>
      </c>
      <c r="AY200" s="487" t="s">
        <v>337</v>
      </c>
      <c r="AZ200" s="487">
        <f>+VLOOKUP($AJ200,Data_Validation!$A:$E,5,0)</f>
        <v>0</v>
      </c>
    </row>
    <row r="201" spans="1:52" ht="15" hidden="1" customHeight="1">
      <c r="A201" s="706" t="s">
        <v>1148</v>
      </c>
      <c r="B201" s="706">
        <v>2025</v>
      </c>
      <c r="C201" s="706" t="s">
        <v>1578</v>
      </c>
      <c r="D201" s="706" t="s">
        <v>1579</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G0755</v>
      </c>
      <c r="AK201" s="905" t="str">
        <f t="shared" si="19"/>
        <v>FORMATION-CARROSSERIE</v>
      </c>
      <c r="AL201" s="905">
        <f>IFERROR(INDEX(G201:R201,1,MATCH(Parametres!$B$3,G$1:R$1,0)-1)*IF(OR(F201="L",F201="S",F201="I"),-1,1),"")</f>
        <v>3002.4</v>
      </c>
      <c r="AM201" s="905">
        <f t="shared" si="20"/>
        <v>156.94999999999982</v>
      </c>
      <c r="AN201" s="905">
        <f>INDEX(G201:R201,1,MATCH(Parametres!$B$3,G$1:R$1,0))*IF(OR(F201="L",F201="S",F201="I"),-1,1)</f>
        <v>3159.35</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21"/>
        <v>G0755</v>
      </c>
      <c r="AU201" s="488" t="str">
        <f t="shared" si="22"/>
        <v>FORMATION-CARROSSERIE</v>
      </c>
      <c r="AV201" s="899">
        <f>IFERROR(INDEX(V201:AG201,1,MATCH(Parametres!$B$3,V$1:AG$1,0)-1)*IF(OR(C201="L",C201="S",C201="I"),-1,1),"")</f>
        <v>0</v>
      </c>
      <c r="AW201" s="899">
        <f t="shared" si="23"/>
        <v>0</v>
      </c>
      <c r="AX201" s="899">
        <f>INDEX(V201:AG201,1,MATCH(Parametres!$B$3,V$1:AG$1,0))*IF(OR(C201="L",C201="S",C201="I"),-1,1)</f>
        <v>0</v>
      </c>
      <c r="AY201" s="487" t="s">
        <v>337</v>
      </c>
      <c r="AZ201" s="487">
        <f>+VLOOKUP($AJ201,Data_Validation!$A:$E,5,0)</f>
        <v>0</v>
      </c>
    </row>
    <row r="202" spans="1:52" ht="15" hidden="1" customHeight="1">
      <c r="A202" s="706" t="s">
        <v>1148</v>
      </c>
      <c r="B202" s="706">
        <v>2025</v>
      </c>
      <c r="C202" s="706" t="s">
        <v>1580</v>
      </c>
      <c r="D202" s="706" t="s">
        <v>1581</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G0756</v>
      </c>
      <c r="AK202" s="905" t="str">
        <f t="shared" si="19"/>
        <v>FORMATION-PIECES</v>
      </c>
      <c r="AL202" s="905">
        <f>IFERROR(INDEX(G202:R202,1,MATCH(Parametres!$B$3,G$1:R$1,0)-1)*IF(OR(F202="L",F202="S",F202="I"),-1,1),"")</f>
        <v>7350</v>
      </c>
      <c r="AM202" s="905">
        <f t="shared" si="20"/>
        <v>-1331.5</v>
      </c>
      <c r="AN202" s="905">
        <f>INDEX(G202:R202,1,MATCH(Parametres!$B$3,G$1:R$1,0))*IF(OR(F202="L",F202="S",F202="I"),-1,1)</f>
        <v>6018.5</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21"/>
        <v>G0756</v>
      </c>
      <c r="AU202" s="488" t="str">
        <f t="shared" si="22"/>
        <v>FORMATION-PIECES</v>
      </c>
      <c r="AV202" s="899">
        <f>IFERROR(INDEX(V202:AG202,1,MATCH(Parametres!$B$3,V$1:AG$1,0)-1)*IF(OR(C202="L",C202="S",C202="I"),-1,1),"")</f>
        <v>0</v>
      </c>
      <c r="AW202" s="899">
        <f t="shared" si="23"/>
        <v>0</v>
      </c>
      <c r="AX202" s="899">
        <f>INDEX(V202:AG202,1,MATCH(Parametres!$B$3,V$1:AG$1,0))*IF(OR(C202="L",C202="S",C202="I"),-1,1)</f>
        <v>0</v>
      </c>
      <c r="AY202" s="487" t="s">
        <v>337</v>
      </c>
      <c r="AZ202" s="487">
        <f>+VLOOKUP($AJ202,Data_Validation!$A:$E,5,0)</f>
        <v>0</v>
      </c>
    </row>
    <row r="203" spans="1:52" ht="15" hidden="1" customHeight="1">
      <c r="A203" s="706" t="s">
        <v>1148</v>
      </c>
      <c r="B203" s="706">
        <v>2025</v>
      </c>
      <c r="C203" s="706" t="s">
        <v>1582</v>
      </c>
      <c r="D203" s="706" t="s">
        <v>1583</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G0760</v>
      </c>
      <c r="AK203" s="905" t="str">
        <f t="shared" si="19"/>
        <v>INTERET VEH. REP 4</v>
      </c>
      <c r="AL203" s="905">
        <f>IFERROR(INDEX(G203:R203,1,MATCH(Parametres!$B$3,G$1:R$1,0)-1)*IF(OR(F203="L",F203="S",F203="I"),-1,1),"")</f>
        <v>0</v>
      </c>
      <c r="AM203" s="905">
        <f t="shared" si="20"/>
        <v>0</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21"/>
        <v>G0760</v>
      </c>
      <c r="AU203" s="488" t="str">
        <f t="shared" si="22"/>
        <v>INTERET VEH. REP 4</v>
      </c>
      <c r="AV203" s="899">
        <f>IFERROR(INDEX(V203:AG203,1,MATCH(Parametres!$B$3,V$1:AG$1,0)-1)*IF(OR(C203="L",C203="S",C203="I"),-1,1),"")</f>
        <v>0</v>
      </c>
      <c r="AW203" s="899">
        <f t="shared" si="23"/>
        <v>0</v>
      </c>
      <c r="AX203" s="899">
        <f>INDEX(V203:AG203,1,MATCH(Parametres!$B$3,V$1:AG$1,0))*IF(OR(C203="L",C203="S",C203="I"),-1,1)</f>
        <v>0</v>
      </c>
      <c r="AY203" s="487" t="s">
        <v>337</v>
      </c>
      <c r="AZ203" s="487">
        <f>+VLOOKUP($AJ203,Data_Validation!$A:$E,5,0)</f>
        <v>0</v>
      </c>
    </row>
    <row r="204" spans="1:52" ht="15" hidden="1" customHeight="1">
      <c r="A204" s="706" t="s">
        <v>1148</v>
      </c>
      <c r="B204" s="706">
        <v>2025</v>
      </c>
      <c r="C204" s="706" t="s">
        <v>1584</v>
      </c>
      <c r="D204" s="706" t="s">
        <v>1585</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G0761</v>
      </c>
      <c r="AK204" s="905" t="str">
        <f t="shared" si="19"/>
        <v>INTERETS VEHICULES-NEUFS</v>
      </c>
      <c r="AL204" s="905">
        <f>IFERROR(INDEX(G204:R204,1,MATCH(Parametres!$B$3,G$1:R$1,0)-1)*IF(OR(F204="L",F204="S",F204="I"),-1,1),"")</f>
        <v>808990.7</v>
      </c>
      <c r="AM204" s="905">
        <f t="shared" si="20"/>
        <v>42808.800000000047</v>
      </c>
      <c r="AN204" s="905">
        <f>INDEX(G204:R204,1,MATCH(Parametres!$B$3,G$1:R$1,0))*IF(OR(F204="L",F204="S",F204="I"),-1,1)</f>
        <v>851799.5</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21"/>
        <v>G0761</v>
      </c>
      <c r="AU204" s="488" t="str">
        <f t="shared" si="22"/>
        <v>INTERETS VEHICULES-NEUFS</v>
      </c>
      <c r="AV204" s="899">
        <f>IFERROR(INDEX(V204:AG204,1,MATCH(Parametres!$B$3,V$1:AG$1,0)-1)*IF(OR(C204="L",C204="S",C204="I"),-1,1),"")</f>
        <v>0</v>
      </c>
      <c r="AW204" s="899">
        <f t="shared" si="23"/>
        <v>0</v>
      </c>
      <c r="AX204" s="899">
        <f>INDEX(V204:AG204,1,MATCH(Parametres!$B$3,V$1:AG$1,0))*IF(OR(C204="L",C204="S",C204="I"),-1,1)</f>
        <v>0</v>
      </c>
      <c r="AY204" s="487" t="s">
        <v>337</v>
      </c>
      <c r="AZ204" s="487">
        <f>+VLOOKUP($AJ204,Data_Validation!$A:$E,5,0)</f>
        <v>0</v>
      </c>
    </row>
    <row r="205" spans="1:52" ht="15" hidden="1" customHeight="1">
      <c r="A205" s="706" t="s">
        <v>1148</v>
      </c>
      <c r="B205" s="706">
        <v>2025</v>
      </c>
      <c r="C205" s="706" t="s">
        <v>1586</v>
      </c>
      <c r="D205" s="706" t="s">
        <v>1587</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G0762</v>
      </c>
      <c r="AK205" s="905" t="str">
        <f t="shared" si="19"/>
        <v>INTERETS VEHICULES-USAGES</v>
      </c>
      <c r="AL205" s="905">
        <f>IFERROR(INDEX(G205:R205,1,MATCH(Parametres!$B$3,G$1:R$1,0)-1)*IF(OR(F205="L",F205="S",F205="I"),-1,1),"")</f>
        <v>195311.48</v>
      </c>
      <c r="AM205" s="905">
        <f t="shared" si="20"/>
        <v>14945.419999999984</v>
      </c>
      <c r="AN205" s="905">
        <f>INDEX(G205:R205,1,MATCH(Parametres!$B$3,G$1:R$1,0))*IF(OR(F205="L",F205="S",F205="I"),-1,1)</f>
        <v>210256.9</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21"/>
        <v>G0762</v>
      </c>
      <c r="AU205" s="488" t="str">
        <f t="shared" si="22"/>
        <v>INTERETS VEHICULES-USAGES</v>
      </c>
      <c r="AV205" s="899">
        <f>IFERROR(INDEX(V205:AG205,1,MATCH(Parametres!$B$3,V$1:AG$1,0)-1)*IF(OR(C205="L",C205="S",C205="I"),-1,1),"")</f>
        <v>0</v>
      </c>
      <c r="AW205" s="899">
        <f t="shared" si="23"/>
        <v>0</v>
      </c>
      <c r="AX205" s="899">
        <f>INDEX(V205:AG205,1,MATCH(Parametres!$B$3,V$1:AG$1,0))*IF(OR(C205="L",C205="S",C205="I"),-1,1)</f>
        <v>0</v>
      </c>
      <c r="AY205" s="487" t="s">
        <v>337</v>
      </c>
      <c r="AZ205" s="487">
        <f>+VLOOKUP($AJ205,Data_Validation!$A:$E,5,0)</f>
        <v>0</v>
      </c>
    </row>
    <row r="206" spans="1:52" ht="15.75" hidden="1" customHeight="1">
      <c r="A206" s="706" t="s">
        <v>1148</v>
      </c>
      <c r="B206" s="706">
        <v>2025</v>
      </c>
      <c r="C206" s="706" t="s">
        <v>1588</v>
      </c>
      <c r="D206" s="706" t="s">
        <v>1589</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G0763</v>
      </c>
      <c r="AK206" s="905" t="str">
        <f t="shared" si="19"/>
        <v>INTERETS VEHICULES U.S.A</v>
      </c>
      <c r="AL206" s="905">
        <f>IFERROR(INDEX(G206:R206,1,MATCH(Parametres!$B$3,G$1:R$1,0)-1)*IF(OR(F206="L",F206="S",F206="I"),-1,1),"")</f>
        <v>158104.59</v>
      </c>
      <c r="AM206" s="905">
        <f t="shared" si="20"/>
        <v>1065.9599999999919</v>
      </c>
      <c r="AN206" s="905">
        <f>INDEX(G206:R206,1,MATCH(Parametres!$B$3,G$1:R$1,0))*IF(OR(F206="L",F206="S",F206="I"),-1,1)</f>
        <v>159170.54999999999</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21"/>
        <v>G0763</v>
      </c>
      <c r="AU206" s="488" t="str">
        <f t="shared" si="22"/>
        <v>INTERETS VEHICULES U.S.A</v>
      </c>
      <c r="AV206" s="899">
        <f>IFERROR(INDEX(V206:AG206,1,MATCH(Parametres!$B$3,V$1:AG$1,0)-1)*IF(OR(C206="L",C206="S",C206="I"),-1,1),"")</f>
        <v>0</v>
      </c>
      <c r="AW206" s="899">
        <f t="shared" si="23"/>
        <v>0</v>
      </c>
      <c r="AX206" s="899">
        <f>INDEX(V206:AG206,1,MATCH(Parametres!$B$3,V$1:AG$1,0))*IF(OR(C206="L",C206="S",C206="I"),-1,1)</f>
        <v>0</v>
      </c>
      <c r="AY206" s="487" t="s">
        <v>337</v>
      </c>
      <c r="AZ206" s="487">
        <f>+VLOOKUP($AJ206,Data_Validation!$A:$E,5,0)</f>
        <v>0</v>
      </c>
    </row>
    <row r="207" spans="1:52" ht="15" hidden="1" customHeight="1">
      <c r="A207" s="706" t="s">
        <v>1148</v>
      </c>
      <c r="B207" s="706">
        <v>2025</v>
      </c>
      <c r="C207" s="706" t="s">
        <v>1590</v>
      </c>
      <c r="D207" s="706" t="s">
        <v>1591</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G0764</v>
      </c>
      <c r="AK207" s="905" t="str">
        <f t="shared" si="19"/>
        <v>INTERETS SERVICE</v>
      </c>
      <c r="AL207" s="905">
        <f>IFERROR(INDEX(G207:R207,1,MATCH(Parametres!$B$3,G$1:R$1,0)-1)*IF(OR(F207="L",F207="S",F207="I"),-1,1),"")</f>
        <v>0.05</v>
      </c>
      <c r="AM207" s="905">
        <f t="shared" si="20"/>
        <v>315.95999999999998</v>
      </c>
      <c r="AN207" s="905">
        <f>INDEX(G207:R207,1,MATCH(Parametres!$B$3,G$1:R$1,0))*IF(OR(F207="L",F207="S",F207="I"),-1,1)</f>
        <v>316.01</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21"/>
        <v>G0764</v>
      </c>
      <c r="AU207" s="488" t="str">
        <f t="shared" si="22"/>
        <v>INTERETS SERVICE</v>
      </c>
      <c r="AV207" s="899">
        <f>IFERROR(INDEX(V207:AG207,1,MATCH(Parametres!$B$3,V$1:AG$1,0)-1)*IF(OR(C207="L",C207="S",C207="I"),-1,1),"")</f>
        <v>0</v>
      </c>
      <c r="AW207" s="899">
        <f t="shared" si="23"/>
        <v>0</v>
      </c>
      <c r="AX207" s="899">
        <f>INDEX(V207:AG207,1,MATCH(Parametres!$B$3,V$1:AG$1,0))*IF(OR(C207="L",C207="S",C207="I"),-1,1)</f>
        <v>0</v>
      </c>
      <c r="AY207" s="487" t="s">
        <v>337</v>
      </c>
      <c r="AZ207" s="487">
        <f>+VLOOKUP($AJ207,Data_Validation!$A:$E,5,0)</f>
        <v>0</v>
      </c>
    </row>
    <row r="208" spans="1:52" ht="15" customHeight="1">
      <c r="A208" s="706" t="s">
        <v>1148</v>
      </c>
      <c r="B208" s="706">
        <v>2025</v>
      </c>
      <c r="C208" s="706" t="s">
        <v>1592</v>
      </c>
      <c r="D208" s="706" t="s">
        <v>1593</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G0766</v>
      </c>
      <c r="AK208" s="905" t="str">
        <f t="shared" si="19"/>
        <v>INTERETS PIECES</v>
      </c>
      <c r="AL208" s="905">
        <f>IFERROR(INDEX(G208:R208,1,MATCH(Parametres!$B$3,G$1:R$1,0)-1)*IF(OR(F208="L",F208="S",F208="I"),-1,1),"")</f>
        <v>0</v>
      </c>
      <c r="AM208" s="905">
        <f t="shared" si="20"/>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G0766</v>
      </c>
      <c r="AU208" s="488" t="str">
        <f t="shared" si="22"/>
        <v>INTERETS PIECES</v>
      </c>
      <c r="AV208" s="899">
        <f>IFERROR(INDEX(V208:AG208,1,MATCH(Parametres!$B$3,V$1:AG$1,0)-1)*IF(OR(C208="L",C208="S",C208="I"),-1,1),"")</f>
        <v>0</v>
      </c>
      <c r="AW208" s="899">
        <f t="shared" si="23"/>
        <v>0</v>
      </c>
      <c r="AX208" s="899">
        <f>INDEX(V208:AG208,1,MATCH(Parametres!$B$3,V$1:AG$1,0))*IF(OR(C208="L",C208="S",C208="I"),-1,1)</f>
        <v>0</v>
      </c>
      <c r="AY208" s="487" t="s">
        <v>337</v>
      </c>
      <c r="AZ208" s="487" t="e">
        <f>+VLOOKUP($AJ208,Data_Validation!$A:$E,5,0)</f>
        <v>#N/A</v>
      </c>
    </row>
    <row r="209" spans="1:52" ht="15" customHeight="1">
      <c r="A209" s="706" t="s">
        <v>1148</v>
      </c>
      <c r="B209" s="706">
        <v>2025</v>
      </c>
      <c r="C209" s="706" t="s">
        <v>1594</v>
      </c>
      <c r="D209" s="706" t="s">
        <v>1595</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G0770</v>
      </c>
      <c r="AK209" s="905" t="str">
        <f t="shared" si="19"/>
        <v>DEPENSES DIVERS REP.</v>
      </c>
      <c r="AL209" s="905">
        <f>IFERROR(INDEX(G209:R209,1,MATCH(Parametres!$B$3,G$1:R$1,0)-1)*IF(OR(F209="L",F209="S",F209="I"),-1,1),"")</f>
        <v>0</v>
      </c>
      <c r="AM209" s="905">
        <f t="shared" si="20"/>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21"/>
        <v>G0770</v>
      </c>
      <c r="AU209" s="488" t="str">
        <f t="shared" si="22"/>
        <v>DEPENSES DIVERS REP.</v>
      </c>
      <c r="AV209" s="899">
        <f>IFERROR(INDEX(V209:AG209,1,MATCH(Parametres!$B$3,V$1:AG$1,0)-1)*IF(OR(C209="L",C209="S",C209="I"),-1,1),"")</f>
        <v>0</v>
      </c>
      <c r="AW209" s="899">
        <f t="shared" si="23"/>
        <v>0</v>
      </c>
      <c r="AX209" s="899">
        <f>INDEX(V209:AG209,1,MATCH(Parametres!$B$3,V$1:AG$1,0))*IF(OR(C209="L",C209="S",C209="I"),-1,1)</f>
        <v>0</v>
      </c>
      <c r="AY209" s="487" t="s">
        <v>337</v>
      </c>
      <c r="AZ209" s="487" t="e">
        <f>+VLOOKUP($AJ209,Data_Validation!$A:$E,5,0)</f>
        <v>#N/A</v>
      </c>
    </row>
    <row r="210" spans="1:52" ht="15" hidden="1" customHeight="1">
      <c r="A210" s="706" t="s">
        <v>1148</v>
      </c>
      <c r="B210" s="706">
        <v>2025</v>
      </c>
      <c r="C210" s="706" t="s">
        <v>1596</v>
      </c>
      <c r="D210" s="706" t="s">
        <v>1597</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G0771</v>
      </c>
      <c r="AK210" s="905" t="str">
        <f t="shared" si="19"/>
        <v>DEPENSES DIVERSES-NEUFS</v>
      </c>
      <c r="AL210" s="905">
        <f>IFERROR(INDEX(G210:R210,1,MATCH(Parametres!$B$3,G$1:R$1,0)-1)*IF(OR(F210="L",F210="S",F210="I"),-1,1),"")</f>
        <v>13777.57</v>
      </c>
      <c r="AM210" s="905">
        <f t="shared" si="20"/>
        <v>1628.6900000000005</v>
      </c>
      <c r="AN210" s="905">
        <f>INDEX(G210:R210,1,MATCH(Parametres!$B$3,G$1:R$1,0))*IF(OR(F210="L",F210="S",F210="I"),-1,1)</f>
        <v>15406.26</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21"/>
        <v>G0771</v>
      </c>
      <c r="AU210" s="488" t="str">
        <f t="shared" si="22"/>
        <v>DEPENSES DIVERSES-NEUFS</v>
      </c>
      <c r="AV210" s="899">
        <f>IFERROR(INDEX(V210:AG210,1,MATCH(Parametres!$B$3,V$1:AG$1,0)-1)*IF(OR(C210="L",C210="S",C210="I"),-1,1),"")</f>
        <v>0</v>
      </c>
      <c r="AW210" s="899">
        <f t="shared" si="23"/>
        <v>0</v>
      </c>
      <c r="AX210" s="899">
        <f>INDEX(V210:AG210,1,MATCH(Parametres!$B$3,V$1:AG$1,0))*IF(OR(C210="L",C210="S",C210="I"),-1,1)</f>
        <v>0</v>
      </c>
      <c r="AY210" s="487" t="s">
        <v>337</v>
      </c>
      <c r="AZ210" s="487">
        <f>+VLOOKUP($AJ210,Data_Validation!$A:$E,5,0)</f>
        <v>0</v>
      </c>
    </row>
    <row r="211" spans="1:52" ht="15.75" hidden="1" customHeight="1">
      <c r="A211" s="706" t="s">
        <v>1148</v>
      </c>
      <c r="B211" s="706">
        <v>2025</v>
      </c>
      <c r="C211" s="706" t="s">
        <v>1598</v>
      </c>
      <c r="D211" s="706" t="s">
        <v>1599</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G0772</v>
      </c>
      <c r="AK211" s="905" t="str">
        <f t="shared" si="19"/>
        <v>DEPENSES DIVERSES-USAGES</v>
      </c>
      <c r="AL211" s="905">
        <f>IFERROR(INDEX(G211:R211,1,MATCH(Parametres!$B$3,G$1:R$1,0)-1)*IF(OR(F211="L",F211="S",F211="I"),-1,1),"")</f>
        <v>9051.5400000000009</v>
      </c>
      <c r="AM211" s="905">
        <f t="shared" si="20"/>
        <v>1085.7899999999991</v>
      </c>
      <c r="AN211" s="905">
        <f>INDEX(G211:R211,1,MATCH(Parametres!$B$3,G$1:R$1,0))*IF(OR(F211="L",F211="S",F211="I"),-1,1)</f>
        <v>10137.33</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21"/>
        <v>G0772</v>
      </c>
      <c r="AU211" s="488" t="str">
        <f t="shared" si="22"/>
        <v>DEPENSES DIVERSES-USAGES</v>
      </c>
      <c r="AV211" s="899">
        <f>IFERROR(INDEX(V211:AG211,1,MATCH(Parametres!$B$3,V$1:AG$1,0)-1)*IF(OR(C211="L",C211="S",C211="I"),-1,1),"")</f>
        <v>0</v>
      </c>
      <c r="AW211" s="899">
        <f t="shared" si="23"/>
        <v>0</v>
      </c>
      <c r="AX211" s="899">
        <f>INDEX(V211:AG211,1,MATCH(Parametres!$B$3,V$1:AG$1,0))*IF(OR(C211="L",C211="S",C211="I"),-1,1)</f>
        <v>0</v>
      </c>
      <c r="AY211" s="487" t="s">
        <v>337</v>
      </c>
      <c r="AZ211" s="487">
        <f>+VLOOKUP($AJ211,Data_Validation!$A:$E,5,0)</f>
        <v>0</v>
      </c>
    </row>
    <row r="212" spans="1:52" ht="15" hidden="1" customHeight="1">
      <c r="A212" s="706" t="s">
        <v>1148</v>
      </c>
      <c r="B212" s="706">
        <v>2025</v>
      </c>
      <c r="C212" s="706" t="s">
        <v>1600</v>
      </c>
      <c r="D212" s="706" t="s">
        <v>1601</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G0773</v>
      </c>
      <c r="AK212" s="905" t="str">
        <f t="shared" si="19"/>
        <v>DEPENSES DIVERSES U.S.A</v>
      </c>
      <c r="AL212" s="905">
        <f>IFERROR(INDEX(G212:R212,1,MATCH(Parametres!$B$3,G$1:R$1,0)-1)*IF(OR(F212="L",F212="S",F212="I"),-1,1),"")</f>
        <v>79.900000000000006</v>
      </c>
      <c r="AM212" s="905">
        <f t="shared" si="20"/>
        <v>0</v>
      </c>
      <c r="AN212" s="905">
        <f>INDEX(G212:R212,1,MATCH(Parametres!$B$3,G$1:R$1,0))*IF(OR(F212="L",F212="S",F212="I"),-1,1)</f>
        <v>79.900000000000006</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21"/>
        <v>G0773</v>
      </c>
      <c r="AU212" s="488" t="str">
        <f t="shared" si="22"/>
        <v>DEPENSES DIVERSES U.S.A</v>
      </c>
      <c r="AV212" s="899">
        <f>IFERROR(INDEX(V212:AG212,1,MATCH(Parametres!$B$3,V$1:AG$1,0)-1)*IF(OR(C212="L",C212="S",C212="I"),-1,1),"")</f>
        <v>0</v>
      </c>
      <c r="AW212" s="899">
        <f t="shared" si="23"/>
        <v>0</v>
      </c>
      <c r="AX212" s="899">
        <f>INDEX(V212:AG212,1,MATCH(Parametres!$B$3,V$1:AG$1,0))*IF(OR(C212="L",C212="S",C212="I"),-1,1)</f>
        <v>0</v>
      </c>
      <c r="AY212" s="487" t="s">
        <v>337</v>
      </c>
      <c r="AZ212" s="487">
        <f>+VLOOKUP($AJ212,Data_Validation!$A:$E,5,0)</f>
        <v>0</v>
      </c>
    </row>
    <row r="213" spans="1:52" ht="15" hidden="1" customHeight="1">
      <c r="A213" s="706" t="s">
        <v>1148</v>
      </c>
      <c r="B213" s="706">
        <v>2025</v>
      </c>
      <c r="C213" s="706" t="s">
        <v>1602</v>
      </c>
      <c r="D213" s="706" t="s">
        <v>1603</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G0774</v>
      </c>
      <c r="AK213" s="905" t="str">
        <f t="shared" si="19"/>
        <v>DEPENSES DIVERSES-SERVICE</v>
      </c>
      <c r="AL213" s="905">
        <f>IFERROR(INDEX(G213:R213,1,MATCH(Parametres!$B$3,G$1:R$1,0)-1)*IF(OR(F213="L",F213="S",F213="I"),-1,1),"")</f>
        <v>5897.58</v>
      </c>
      <c r="AM213" s="905">
        <f t="shared" si="20"/>
        <v>-290.71000000000004</v>
      </c>
      <c r="AN213" s="905">
        <f>INDEX(G213:R213,1,MATCH(Parametres!$B$3,G$1:R$1,0))*IF(OR(F213="L",F213="S",F213="I"),-1,1)</f>
        <v>5606.87</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21"/>
        <v>G0774</v>
      </c>
      <c r="AU213" s="488" t="str">
        <f t="shared" si="22"/>
        <v>DEPENSES DIVERSES-SERVICE</v>
      </c>
      <c r="AV213" s="899">
        <f>IFERROR(INDEX(V213:AG213,1,MATCH(Parametres!$B$3,V$1:AG$1,0)-1)*IF(OR(C213="L",C213="S",C213="I"),-1,1),"")</f>
        <v>0</v>
      </c>
      <c r="AW213" s="899">
        <f t="shared" si="23"/>
        <v>0</v>
      </c>
      <c r="AX213" s="899">
        <f>INDEX(V213:AG213,1,MATCH(Parametres!$B$3,V$1:AG$1,0))*IF(OR(C213="L",C213="S",C213="I"),-1,1)</f>
        <v>0</v>
      </c>
      <c r="AY213" s="487" t="s">
        <v>337</v>
      </c>
      <c r="AZ213" s="487">
        <f>+VLOOKUP($AJ213,Data_Validation!$A:$E,5,0)</f>
        <v>0</v>
      </c>
    </row>
    <row r="214" spans="1:52" ht="15" hidden="1" customHeight="1">
      <c r="A214" s="706" t="s">
        <v>1148</v>
      </c>
      <c r="B214" s="706">
        <v>2025</v>
      </c>
      <c r="C214" s="706" t="s">
        <v>1604</v>
      </c>
      <c r="D214" s="706" t="s">
        <v>1605</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G0775</v>
      </c>
      <c r="AK214" s="905" t="str">
        <f t="shared" si="19"/>
        <v>DEPENSES DIVERSES-CARROSS</v>
      </c>
      <c r="AL214" s="905">
        <f>IFERROR(INDEX(G214:R214,1,MATCH(Parametres!$B$3,G$1:R$1,0)-1)*IF(OR(F214="L",F214="S",F214="I"),-1,1),"")</f>
        <v>4595.8100000000004</v>
      </c>
      <c r="AM214" s="905">
        <f t="shared" si="20"/>
        <v>542.88999999999942</v>
      </c>
      <c r="AN214" s="905">
        <f>INDEX(G214:R214,1,MATCH(Parametres!$B$3,G$1:R$1,0))*IF(OR(F214="L",F214="S",F214="I"),-1,1)</f>
        <v>5138.7</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21"/>
        <v>G0775</v>
      </c>
      <c r="AU214" s="488" t="str">
        <f t="shared" si="22"/>
        <v>DEPENSES DIVERSES-CARROSS</v>
      </c>
      <c r="AV214" s="899">
        <f>IFERROR(INDEX(V214:AG214,1,MATCH(Parametres!$B$3,V$1:AG$1,0)-1)*IF(OR(C214="L",C214="S",C214="I"),-1,1),"")</f>
        <v>0</v>
      </c>
      <c r="AW214" s="899">
        <f t="shared" si="23"/>
        <v>0</v>
      </c>
      <c r="AX214" s="899">
        <f>INDEX(V214:AG214,1,MATCH(Parametres!$B$3,V$1:AG$1,0))*IF(OR(C214="L",C214="S",C214="I"),-1,1)</f>
        <v>0</v>
      </c>
      <c r="AY214" s="487" t="s">
        <v>337</v>
      </c>
      <c r="AZ214" s="487">
        <f>+VLOOKUP($AJ214,Data_Validation!$A:$E,5,0)</f>
        <v>0</v>
      </c>
    </row>
    <row r="215" spans="1:52" ht="15.75" hidden="1" customHeight="1">
      <c r="A215" s="706" t="s">
        <v>1148</v>
      </c>
      <c r="B215" s="706">
        <v>2025</v>
      </c>
      <c r="C215" s="706" t="s">
        <v>1606</v>
      </c>
      <c r="D215" s="706" t="s">
        <v>1607</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G0776</v>
      </c>
      <c r="AK215" s="905" t="str">
        <f t="shared" si="19"/>
        <v>DEPENSES DIVERSES-PCES</v>
      </c>
      <c r="AL215" s="905">
        <f>IFERROR(INDEX(G215:R215,1,MATCH(Parametres!$B$3,G$1:R$1,0)-1)*IF(OR(F215="L",F215="S",F215="I"),-1,1),"")</f>
        <v>4525.74</v>
      </c>
      <c r="AM215" s="905">
        <f t="shared" si="20"/>
        <v>542.86999999999989</v>
      </c>
      <c r="AN215" s="905">
        <f>INDEX(G215:R215,1,MATCH(Parametres!$B$3,G$1:R$1,0))*IF(OR(F215="L",F215="S",F215="I"),-1,1)</f>
        <v>5068.6099999999997</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21"/>
        <v>G0776</v>
      </c>
      <c r="AU215" s="488" t="str">
        <f t="shared" si="22"/>
        <v>DEPENSES DIVERSES-PCES</v>
      </c>
      <c r="AV215" s="899">
        <f>IFERROR(INDEX(V215:AG215,1,MATCH(Parametres!$B$3,V$1:AG$1,0)-1)*IF(OR(C215="L",C215="S",C215="I"),-1,1),"")</f>
        <v>0</v>
      </c>
      <c r="AW215" s="899">
        <f t="shared" si="23"/>
        <v>0</v>
      </c>
      <c r="AX215" s="899">
        <f>INDEX(V215:AG215,1,MATCH(Parametres!$B$3,V$1:AG$1,0))*IF(OR(C215="L",C215="S",C215="I"),-1,1)</f>
        <v>0</v>
      </c>
      <c r="AY215" s="487" t="s">
        <v>337</v>
      </c>
      <c r="AZ215" s="487">
        <f>+VLOOKUP($AJ215,Data_Validation!$A:$E,5,0)</f>
        <v>0</v>
      </c>
    </row>
    <row r="216" spans="1:52" ht="15" hidden="1" customHeight="1">
      <c r="A216" s="706" t="s">
        <v>1148</v>
      </c>
      <c r="B216" s="706">
        <v>2025</v>
      </c>
      <c r="C216" s="706" t="s">
        <v>1608</v>
      </c>
      <c r="D216" s="706" t="s">
        <v>3101</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G0777</v>
      </c>
      <c r="AK216" s="905" t="str">
        <f t="shared" si="19"/>
        <v>FRAIS DIVERS-PIECE</v>
      </c>
      <c r="AL216" s="905">
        <f>IFERROR(INDEX(G216:R216,1,MATCH(Parametres!$B$3,G$1:R$1,0)-1)*IF(OR(F216="L",F216="S",F216="I"),-1,1),"")</f>
        <v>0</v>
      </c>
      <c r="AM216" s="905">
        <f t="shared" si="20"/>
        <v>0</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21"/>
        <v>G0777</v>
      </c>
      <c r="AU216" s="488" t="str">
        <f t="shared" si="22"/>
        <v>FRAIS DIVERS-PIECE</v>
      </c>
      <c r="AV216" s="899">
        <f>IFERROR(INDEX(V216:AG216,1,MATCH(Parametres!$B$3,V$1:AG$1,0)-1)*IF(OR(C216="L",C216="S",C216="I"),-1,1),"")</f>
        <v>0</v>
      </c>
      <c r="AW216" s="899">
        <f t="shared" si="23"/>
        <v>0</v>
      </c>
      <c r="AX216" s="899">
        <f>INDEX(V216:AG216,1,MATCH(Parametres!$B$3,V$1:AG$1,0))*IF(OR(C216="L",C216="S",C216="I"),-1,1)</f>
        <v>0</v>
      </c>
      <c r="AY216" s="487" t="s">
        <v>337</v>
      </c>
      <c r="AZ216" s="487">
        <f>+VLOOKUP($AJ216,Data_Validation!$A:$E,5,0)</f>
        <v>0</v>
      </c>
    </row>
    <row r="217" spans="1:52" ht="15" customHeight="1">
      <c r="A217" s="706" t="s">
        <v>1148</v>
      </c>
      <c r="B217" s="706">
        <v>2025</v>
      </c>
      <c r="C217" s="706" t="s">
        <v>1610</v>
      </c>
      <c r="D217" s="706" t="s">
        <v>1611</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G0779</v>
      </c>
      <c r="AK217" s="905" t="str">
        <f t="shared" si="19"/>
        <v>DEPENSES DIVERSES-ADMIN</v>
      </c>
      <c r="AL217" s="905">
        <f>IFERROR(INDEX(G217:R217,1,MATCH(Parametres!$B$3,G$1:R$1,0)-1)*IF(OR(F217="L",F217="S",F217="I"),-1,1),"")</f>
        <v>0</v>
      </c>
      <c r="AM217" s="905">
        <f t="shared" si="20"/>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21"/>
        <v>G0779</v>
      </c>
      <c r="AU217" s="488" t="str">
        <f t="shared" si="22"/>
        <v>DEPENSES DIVERSES-ADMIN</v>
      </c>
      <c r="AV217" s="899">
        <f>IFERROR(INDEX(V217:AG217,1,MATCH(Parametres!$B$3,V$1:AG$1,0)-1)*IF(OR(C217="L",C217="S",C217="I"),-1,1),"")</f>
        <v>0</v>
      </c>
      <c r="AW217" s="899">
        <f t="shared" si="23"/>
        <v>0</v>
      </c>
      <c r="AX217" s="899">
        <f>INDEX(V217:AG217,1,MATCH(Parametres!$B$3,V$1:AG$1,0))*IF(OR(C217="L",C217="S",C217="I"),-1,1)</f>
        <v>0</v>
      </c>
      <c r="AY217" s="487" t="s">
        <v>337</v>
      </c>
      <c r="AZ217" s="487" t="e">
        <f>+VLOOKUP($AJ217,Data_Validation!$A:$E,5,0)</f>
        <v>#N/A</v>
      </c>
    </row>
    <row r="218" spans="1:52" ht="15" customHeight="1">
      <c r="A218" s="706" t="s">
        <v>1148</v>
      </c>
      <c r="B218" s="706">
        <v>2025</v>
      </c>
      <c r="C218" s="706" t="s">
        <v>1612</v>
      </c>
      <c r="D218" s="706" t="s">
        <v>1367</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G0780</v>
      </c>
      <c r="AK218" s="905" t="str">
        <f t="shared" si="19"/>
        <v>FRAIS DE BANQUE</v>
      </c>
      <c r="AL218" s="905">
        <f>IFERROR(INDEX(G218:R218,1,MATCH(Parametres!$B$3,G$1:R$1,0)-1)*IF(OR(F218="L",F218="S",F218="I"),-1,1),"")</f>
        <v>0</v>
      </c>
      <c r="AM218" s="905">
        <f t="shared" si="20"/>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21"/>
        <v>G0780</v>
      </c>
      <c r="AU218" s="488" t="str">
        <f t="shared" si="22"/>
        <v>FRAIS DE BANQUE</v>
      </c>
      <c r="AV218" s="899">
        <f>IFERROR(INDEX(V218:AG218,1,MATCH(Parametres!$B$3,V$1:AG$1,0)-1)*IF(OR(C218="L",C218="S",C218="I"),-1,1),"")</f>
        <v>0</v>
      </c>
      <c r="AW218" s="899">
        <f t="shared" si="23"/>
        <v>0</v>
      </c>
      <c r="AX218" s="899">
        <f>INDEX(V218:AG218,1,MATCH(Parametres!$B$3,V$1:AG$1,0))*IF(OR(C218="L",C218="S",C218="I"),-1,1)</f>
        <v>0</v>
      </c>
      <c r="AY218" s="487" t="s">
        <v>337</v>
      </c>
      <c r="AZ218" s="487" t="e">
        <f>+VLOOKUP($AJ218,Data_Validation!$A:$E,5,0)</f>
        <v>#N/A</v>
      </c>
    </row>
    <row r="219" spans="1:52" ht="15.75" hidden="1" customHeight="1">
      <c r="A219" s="706" t="s">
        <v>1148</v>
      </c>
      <c r="B219" s="706">
        <v>2025</v>
      </c>
      <c r="C219" s="706" t="s">
        <v>1613</v>
      </c>
      <c r="D219" s="706" t="s">
        <v>1614</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G0781</v>
      </c>
      <c r="AK219" s="905" t="str">
        <f t="shared" si="19"/>
        <v>INTERET-CREDIT FIN.STOCKS</v>
      </c>
      <c r="AL219" s="905">
        <f>IFERROR(INDEX(G219:R219,1,MATCH(Parametres!$B$3,G$1:R$1,0)-1)*IF(OR(F219="L",F219="S",F219="I"),-1,1),"")</f>
        <v>-2238006</v>
      </c>
      <c r="AM219" s="905">
        <f t="shared" si="20"/>
        <v>-359743.79000000004</v>
      </c>
      <c r="AN219" s="905">
        <f>INDEX(G219:R219,1,MATCH(Parametres!$B$3,G$1:R$1,0))*IF(OR(F219="L",F219="S",F219="I"),-1,1)</f>
        <v>-2597749.79</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21"/>
        <v>G0781</v>
      </c>
      <c r="AU219" s="488" t="str">
        <f t="shared" si="22"/>
        <v>INTERET-CREDIT FIN.STOCKS</v>
      </c>
      <c r="AV219" s="899">
        <f>IFERROR(INDEX(V219:AG219,1,MATCH(Parametres!$B$3,V$1:AG$1,0)-1)*IF(OR(C219="L",C219="S",C219="I"),-1,1),"")</f>
        <v>0</v>
      </c>
      <c r="AW219" s="899">
        <f t="shared" si="23"/>
        <v>0</v>
      </c>
      <c r="AX219" s="899">
        <f>INDEX(V219:AG219,1,MATCH(Parametres!$B$3,V$1:AG$1,0))*IF(OR(C219="L",C219="S",C219="I"),-1,1)</f>
        <v>0</v>
      </c>
      <c r="AY219" s="487" t="s">
        <v>337</v>
      </c>
      <c r="AZ219" s="487">
        <f>+VLOOKUP($AJ219,Data_Validation!$A:$E,5,0)</f>
        <v>0</v>
      </c>
    </row>
    <row r="220" spans="1:52" ht="15" hidden="1" customHeight="1">
      <c r="A220" s="706" t="s">
        <v>1148</v>
      </c>
      <c r="B220" s="706">
        <v>2025</v>
      </c>
      <c r="C220" s="706" t="s">
        <v>1615</v>
      </c>
      <c r="D220" s="706" t="s">
        <v>1616</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G0782</v>
      </c>
      <c r="AK220" s="905" t="str">
        <f t="shared" si="19"/>
        <v>CREDIT INT.FINANC.-USAGE</v>
      </c>
      <c r="AL220" s="905">
        <f>IFERROR(INDEX(G220:R220,1,MATCH(Parametres!$B$3,G$1:R$1,0)-1)*IF(OR(F220="L",F220="S",F220="I"),-1,1),"")</f>
        <v>0</v>
      </c>
      <c r="AM220" s="905">
        <f t="shared" si="20"/>
        <v>0</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21"/>
        <v>G0782</v>
      </c>
      <c r="AU220" s="488" t="str">
        <f t="shared" si="22"/>
        <v>CREDIT INT.FINANC.-USAGE</v>
      </c>
      <c r="AV220" s="899">
        <f>IFERROR(INDEX(V220:AG220,1,MATCH(Parametres!$B$3,V$1:AG$1,0)-1)*IF(OR(C220="L",C220="S",C220="I"),-1,1),"")</f>
        <v>0</v>
      </c>
      <c r="AW220" s="899">
        <f t="shared" si="23"/>
        <v>0</v>
      </c>
      <c r="AX220" s="899">
        <f>INDEX(V220:AG220,1,MATCH(Parametres!$B$3,V$1:AG$1,0))*IF(OR(C220="L",C220="S",C220="I"),-1,1)</f>
        <v>0</v>
      </c>
      <c r="AY220" s="487" t="s">
        <v>337</v>
      </c>
      <c r="AZ220" s="487">
        <f>+VLOOKUP($AJ220,Data_Validation!$A:$E,5,0)</f>
        <v>0</v>
      </c>
    </row>
    <row r="221" spans="1:52" ht="15" hidden="1" customHeight="1">
      <c r="A221" s="706" t="s">
        <v>1148</v>
      </c>
      <c r="B221" s="706">
        <v>2025</v>
      </c>
      <c r="C221" s="706" t="s">
        <v>1617</v>
      </c>
      <c r="D221" s="706" t="s">
        <v>1618</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G0783</v>
      </c>
      <c r="AK221" s="905" t="str">
        <f t="shared" si="19"/>
        <v>CREDIT INT.FINANC.-LOC.</v>
      </c>
      <c r="AL221" s="905">
        <f>IFERROR(INDEX(G221:R221,1,MATCH(Parametres!$B$3,G$1:R$1,0)-1)*IF(OR(F221="L",F221="S",F221="I"),-1,1),"")</f>
        <v>0</v>
      </c>
      <c r="AM221" s="905">
        <f t="shared" si="20"/>
        <v>0</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21"/>
        <v>G0783</v>
      </c>
      <c r="AU221" s="488" t="str">
        <f t="shared" si="22"/>
        <v>CREDIT INT.FINANC.-LOC.</v>
      </c>
      <c r="AV221" s="899">
        <f>IFERROR(INDEX(V221:AG221,1,MATCH(Parametres!$B$3,V$1:AG$1,0)-1)*IF(OR(C221="L",C221="S",C221="I"),-1,1),"")</f>
        <v>0</v>
      </c>
      <c r="AW221" s="899">
        <f t="shared" si="23"/>
        <v>0</v>
      </c>
      <c r="AX221" s="899">
        <f>INDEX(V221:AG221,1,MATCH(Parametres!$B$3,V$1:AG$1,0))*IF(OR(C221="L",C221="S",C221="I"),-1,1)</f>
        <v>0</v>
      </c>
      <c r="AY221" s="487" t="s">
        <v>337</v>
      </c>
      <c r="AZ221" s="487">
        <f>+VLOOKUP($AJ221,Data_Validation!$A:$E,5,0)</f>
        <v>0</v>
      </c>
    </row>
    <row r="222" spans="1:52" ht="15" customHeight="1">
      <c r="A222" s="706" t="s">
        <v>1148</v>
      </c>
      <c r="B222" s="706">
        <v>2025</v>
      </c>
      <c r="C222" s="706" t="s">
        <v>1619</v>
      </c>
      <c r="D222" s="706" t="s">
        <v>1620</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G0790</v>
      </c>
      <c r="AK222" s="905" t="str">
        <f t="shared" si="19"/>
        <v>INTERETS MARGE CREDIT REP</v>
      </c>
      <c r="AL222" s="905">
        <f>IFERROR(INDEX(G222:R222,1,MATCH(Parametres!$B$3,G$1:R$1,0)-1)*IF(OR(F222="L",F222="S",F222="I"),-1,1),"")</f>
        <v>0</v>
      </c>
      <c r="AM222" s="905">
        <f t="shared" si="20"/>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G0790</v>
      </c>
      <c r="AU222" s="488" t="str">
        <f t="shared" si="22"/>
        <v>INTERETS MARGE CREDIT REP</v>
      </c>
      <c r="AV222" s="899">
        <f>IFERROR(INDEX(V222:AG222,1,MATCH(Parametres!$B$3,V$1:AG$1,0)-1)*IF(OR(C222="L",C222="S",C222="I"),-1,1),"")</f>
        <v>0</v>
      </c>
      <c r="AW222" s="899">
        <f t="shared" si="23"/>
        <v>0</v>
      </c>
      <c r="AX222" s="899">
        <f>INDEX(V222:AG222,1,MATCH(Parametres!$B$3,V$1:AG$1,0))*IF(OR(C222="L",C222="S",C222="I"),-1,1)</f>
        <v>0</v>
      </c>
      <c r="AY222" s="487" t="s">
        <v>337</v>
      </c>
      <c r="AZ222" s="487" t="e">
        <f>+VLOOKUP($AJ222,Data_Validation!$A:$E,5,0)</f>
        <v>#N/A</v>
      </c>
    </row>
    <row r="223" spans="1:52" ht="15" hidden="1" customHeight="1">
      <c r="A223" s="706" t="s">
        <v>1148</v>
      </c>
      <c r="B223" s="706">
        <v>2025</v>
      </c>
      <c r="C223" s="706" t="s">
        <v>1621</v>
      </c>
      <c r="D223" s="706" t="s">
        <v>1622</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G0791</v>
      </c>
      <c r="AK223" s="905" t="str">
        <f t="shared" si="19"/>
        <v>INTÉRETS MARGE CRÉDIT</v>
      </c>
      <c r="AL223" s="905">
        <f>IFERROR(INDEX(G223:R223,1,MATCH(Parametres!$B$3,G$1:R$1,0)-1)*IF(OR(F223="L",F223="S",F223="I"),-1,1),"")</f>
        <v>0</v>
      </c>
      <c r="AM223" s="905">
        <f t="shared" si="20"/>
        <v>0</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21"/>
        <v>G0791</v>
      </c>
      <c r="AU223" s="488" t="str">
        <f t="shared" si="22"/>
        <v>INTÉRETS MARGE CRÉDIT</v>
      </c>
      <c r="AV223" s="899">
        <f>IFERROR(INDEX(V223:AG223,1,MATCH(Parametres!$B$3,V$1:AG$1,0)-1)*IF(OR(C223="L",C223="S",C223="I"),-1,1),"")</f>
        <v>0</v>
      </c>
      <c r="AW223" s="899">
        <f t="shared" si="23"/>
        <v>0</v>
      </c>
      <c r="AX223" s="899">
        <f>INDEX(V223:AG223,1,MATCH(Parametres!$B$3,V$1:AG$1,0))*IF(OR(C223="L",C223="S",C223="I"),-1,1)</f>
        <v>0</v>
      </c>
      <c r="AY223" s="487" t="s">
        <v>337</v>
      </c>
      <c r="AZ223" s="487">
        <f>+VLOOKUP($AJ223,Data_Validation!$A:$E,5,0)</f>
        <v>0</v>
      </c>
    </row>
    <row r="224" spans="1:52" ht="15" hidden="1" customHeight="1">
      <c r="A224" s="706" t="s">
        <v>1148</v>
      </c>
      <c r="B224" s="706">
        <v>2025</v>
      </c>
      <c r="C224" s="706" t="s">
        <v>1623</v>
      </c>
      <c r="D224" s="706" t="s">
        <v>1624</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G0792</v>
      </c>
      <c r="AK224" s="905" t="str">
        <f t="shared" si="19"/>
        <v>INTÉRETS MARGE CREDIT</v>
      </c>
      <c r="AL224" s="905">
        <f>IFERROR(INDEX(G224:R224,1,MATCH(Parametres!$B$3,G$1:R$1,0)-1)*IF(OR(F224="L",F224="S",F224="I"),-1,1),"")</f>
        <v>0</v>
      </c>
      <c r="AM224" s="905">
        <f t="shared" si="20"/>
        <v>0</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21"/>
        <v>G0792</v>
      </c>
      <c r="AU224" s="488" t="str">
        <f t="shared" si="22"/>
        <v>INTÉRETS MARGE CREDIT</v>
      </c>
      <c r="AV224" s="899">
        <f>IFERROR(INDEX(V224:AG224,1,MATCH(Parametres!$B$3,V$1:AG$1,0)-1)*IF(OR(C224="L",C224="S",C224="I"),-1,1),"")</f>
        <v>0</v>
      </c>
      <c r="AW224" s="899">
        <f t="shared" si="23"/>
        <v>0</v>
      </c>
      <c r="AX224" s="899">
        <f>INDEX(V224:AG224,1,MATCH(Parametres!$B$3,V$1:AG$1,0))*IF(OR(C224="L",C224="S",C224="I"),-1,1)</f>
        <v>0</v>
      </c>
      <c r="AY224" s="487" t="s">
        <v>337</v>
      </c>
      <c r="AZ224" s="487">
        <f>+VLOOKUP($AJ224,Data_Validation!$A:$E,5,0)</f>
        <v>0</v>
      </c>
    </row>
    <row r="225" spans="1:52" ht="15.75" hidden="1" customHeight="1">
      <c r="A225" s="706" t="s">
        <v>1148</v>
      </c>
      <c r="B225" s="706">
        <v>2025</v>
      </c>
      <c r="C225" s="706" t="s">
        <v>1625</v>
      </c>
      <c r="D225" s="706" t="s">
        <v>1626</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G0794</v>
      </c>
      <c r="AK225" s="905" t="str">
        <f t="shared" si="19"/>
        <v>INTERETS MARGE DE CREDIT</v>
      </c>
      <c r="AL225" s="905">
        <f>IFERROR(INDEX(G225:R225,1,MATCH(Parametres!$B$3,G$1:R$1,0)-1)*IF(OR(F225="L",F225="S",F225="I"),-1,1),"")</f>
        <v>0</v>
      </c>
      <c r="AM225" s="905">
        <f t="shared" si="20"/>
        <v>0</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21"/>
        <v>G0794</v>
      </c>
      <c r="AU225" s="488" t="str">
        <f t="shared" si="22"/>
        <v>INTERETS MARGE DE CREDIT</v>
      </c>
      <c r="AV225" s="899">
        <f>IFERROR(INDEX(V225:AG225,1,MATCH(Parametres!$B$3,V$1:AG$1,0)-1)*IF(OR(C225="L",C225="S",C225="I"),-1,1),"")</f>
        <v>0</v>
      </c>
      <c r="AW225" s="899">
        <f t="shared" si="23"/>
        <v>0</v>
      </c>
      <c r="AX225" s="899">
        <f>INDEX(V225:AG225,1,MATCH(Parametres!$B$3,V$1:AG$1,0))*IF(OR(C225="L",C225="S",C225="I"),-1,1)</f>
        <v>0</v>
      </c>
      <c r="AY225" s="487" t="s">
        <v>337</v>
      </c>
      <c r="AZ225" s="487">
        <f>+VLOOKUP($AJ225,Data_Validation!$A:$E,5,0)</f>
        <v>0</v>
      </c>
    </row>
    <row r="226" spans="1:52" ht="15" hidden="1" customHeight="1">
      <c r="A226" s="706" t="s">
        <v>1148</v>
      </c>
      <c r="B226" s="706">
        <v>2025</v>
      </c>
      <c r="C226" s="706" t="s">
        <v>1627</v>
      </c>
      <c r="D226" s="706" t="s">
        <v>1626</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G0795</v>
      </c>
      <c r="AK226" s="905" t="str">
        <f t="shared" si="19"/>
        <v>INTERETS MARGE DE CREDIT</v>
      </c>
      <c r="AL226" s="905">
        <f>IFERROR(INDEX(G226:R226,1,MATCH(Parametres!$B$3,G$1:R$1,0)-1)*IF(OR(F226="L",F226="S",F226="I"),-1,1),"")</f>
        <v>0</v>
      </c>
      <c r="AM226" s="905">
        <f t="shared" si="20"/>
        <v>0</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21"/>
        <v>G0795</v>
      </c>
      <c r="AU226" s="488" t="str">
        <f t="shared" si="22"/>
        <v>INTERETS MARGE DE CREDIT</v>
      </c>
      <c r="AV226" s="899">
        <f>IFERROR(INDEX(V226:AG226,1,MATCH(Parametres!$B$3,V$1:AG$1,0)-1)*IF(OR(C226="L",C226="S",C226="I"),-1,1),"")</f>
        <v>0</v>
      </c>
      <c r="AW226" s="899">
        <f t="shared" si="23"/>
        <v>0</v>
      </c>
      <c r="AX226" s="899">
        <f>INDEX(V226:AG226,1,MATCH(Parametres!$B$3,V$1:AG$1,0))*IF(OR(C226="L",C226="S",C226="I"),-1,1)</f>
        <v>0</v>
      </c>
      <c r="AY226" s="487" t="s">
        <v>337</v>
      </c>
      <c r="AZ226" s="487">
        <f>+VLOOKUP($AJ226,Data_Validation!$A:$E,5,0)</f>
        <v>0</v>
      </c>
    </row>
    <row r="227" spans="1:52" ht="15" hidden="1" customHeight="1">
      <c r="A227" s="706" t="s">
        <v>1148</v>
      </c>
      <c r="B227" s="706">
        <v>2025</v>
      </c>
      <c r="C227" s="706" t="s">
        <v>1628</v>
      </c>
      <c r="D227" s="706" t="s">
        <v>1629</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G0796</v>
      </c>
      <c r="AK227" s="905" t="str">
        <f t="shared" si="19"/>
        <v>INTÉRETS MARGE DE CRÉDIT</v>
      </c>
      <c r="AL227" s="905">
        <f>IFERROR(INDEX(G227:R227,1,MATCH(Parametres!$B$3,G$1:R$1,0)-1)*IF(OR(F227="L",F227="S",F227="I"),-1,1),"")</f>
        <v>0</v>
      </c>
      <c r="AM227" s="905">
        <f t="shared" si="20"/>
        <v>0</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21"/>
        <v>G0796</v>
      </c>
      <c r="AU227" s="488" t="str">
        <f t="shared" si="22"/>
        <v>INTÉRETS MARGE DE CRÉDIT</v>
      </c>
      <c r="AV227" s="899">
        <f>IFERROR(INDEX(V227:AG227,1,MATCH(Parametres!$B$3,V$1:AG$1,0)-1)*IF(OR(C227="L",C227="S",C227="I"),-1,1),"")</f>
        <v>0</v>
      </c>
      <c r="AW227" s="899">
        <f t="shared" si="23"/>
        <v>0</v>
      </c>
      <c r="AX227" s="899">
        <f>INDEX(V227:AG227,1,MATCH(Parametres!$B$3,V$1:AG$1,0))*IF(OR(C227="L",C227="S",C227="I"),-1,1)</f>
        <v>0</v>
      </c>
      <c r="AY227" s="487" t="s">
        <v>337</v>
      </c>
      <c r="AZ227" s="487">
        <f>+VLOOKUP($AJ227,Data_Validation!$A:$E,5,0)</f>
        <v>0</v>
      </c>
    </row>
    <row r="228" spans="1:52" ht="15" customHeight="1">
      <c r="A228" s="706" t="s">
        <v>1148</v>
      </c>
      <c r="B228" s="706">
        <v>2025</v>
      </c>
      <c r="C228" s="706" t="s">
        <v>1630</v>
      </c>
      <c r="D228" s="706" t="s">
        <v>1631</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G0800</v>
      </c>
      <c r="AK228" s="905" t="str">
        <f t="shared" si="19"/>
        <v>LOCATION REP.</v>
      </c>
      <c r="AL228" s="905">
        <f>IFERROR(INDEX(G228:R228,1,MATCH(Parametres!$B$3,G$1:R$1,0)-1)*IF(OR(F228="L",F228="S",F228="I"),-1,1),"")</f>
        <v>0</v>
      </c>
      <c r="AM228" s="905">
        <f t="shared" si="20"/>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21"/>
        <v>G0800</v>
      </c>
      <c r="AU228" s="488" t="str">
        <f t="shared" si="22"/>
        <v>LOCATION REP.</v>
      </c>
      <c r="AV228" s="899">
        <f>IFERROR(INDEX(V228:AG228,1,MATCH(Parametres!$B$3,V$1:AG$1,0)-1)*IF(OR(C228="L",C228="S",C228="I"),-1,1),"")</f>
        <v>0</v>
      </c>
      <c r="AW228" s="899">
        <f t="shared" si="23"/>
        <v>0</v>
      </c>
      <c r="AX228" s="899">
        <f>INDEX(V228:AG228,1,MATCH(Parametres!$B$3,V$1:AG$1,0))*IF(OR(C228="L",C228="S",C228="I"),-1,1)</f>
        <v>0</v>
      </c>
      <c r="AY228" s="487" t="s">
        <v>337</v>
      </c>
      <c r="AZ228" s="487" t="e">
        <f>+VLOOKUP($AJ228,Data_Validation!$A:$E,5,0)</f>
        <v>#N/A</v>
      </c>
    </row>
    <row r="229" spans="1:52" ht="15.75" hidden="1" customHeight="1">
      <c r="A229" s="706" t="s">
        <v>1148</v>
      </c>
      <c r="B229" s="706">
        <v>2025</v>
      </c>
      <c r="C229" s="706" t="s">
        <v>1632</v>
      </c>
      <c r="D229" s="706" t="s">
        <v>1633</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G0801</v>
      </c>
      <c r="AK229" s="905" t="str">
        <f t="shared" si="19"/>
        <v>LOCATION-NEUFS</v>
      </c>
      <c r="AL229" s="905">
        <f>IFERROR(INDEX(G229:R229,1,MATCH(Parametres!$B$3,G$1:R$1,0)-1)*IF(OR(F229="L",F229="S",F229="I"),-1,1),"")</f>
        <v>190750</v>
      </c>
      <c r="AM229" s="905">
        <f t="shared" si="20"/>
        <v>21000</v>
      </c>
      <c r="AN229" s="905">
        <f>INDEX(G229:R229,1,MATCH(Parametres!$B$3,G$1:R$1,0))*IF(OR(F229="L",F229="S",F229="I"),-1,1)</f>
        <v>211750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21"/>
        <v>G0801</v>
      </c>
      <c r="AU229" s="488" t="str">
        <f t="shared" si="22"/>
        <v>LOCATION-NEUFS</v>
      </c>
      <c r="AV229" s="899">
        <f>IFERROR(INDEX(V229:AG229,1,MATCH(Parametres!$B$3,V$1:AG$1,0)-1)*IF(OR(C229="L",C229="S",C229="I"),-1,1),"")</f>
        <v>0</v>
      </c>
      <c r="AW229" s="899">
        <f t="shared" si="23"/>
        <v>0</v>
      </c>
      <c r="AX229" s="899">
        <f>INDEX(V229:AG229,1,MATCH(Parametres!$B$3,V$1:AG$1,0))*IF(OR(C229="L",C229="S",C229="I"),-1,1)</f>
        <v>0</v>
      </c>
      <c r="AY229" s="487" t="s">
        <v>337</v>
      </c>
      <c r="AZ229" s="487">
        <f>+VLOOKUP($AJ229,Data_Validation!$A:$E,5,0)</f>
        <v>0</v>
      </c>
    </row>
    <row r="230" spans="1:52" ht="15" hidden="1" customHeight="1">
      <c r="A230" s="706" t="s">
        <v>1148</v>
      </c>
      <c r="B230" s="706">
        <v>2025</v>
      </c>
      <c r="C230" s="706" t="s">
        <v>1634</v>
      </c>
      <c r="D230" s="706" t="s">
        <v>1635</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G0802</v>
      </c>
      <c r="AK230" s="905" t="str">
        <f t="shared" si="19"/>
        <v>LOCATION-USAGES</v>
      </c>
      <c r="AL230" s="905">
        <f>IFERROR(INDEX(G230:R230,1,MATCH(Parametres!$B$3,G$1:R$1,0)-1)*IF(OR(F230="L",F230="S",F230="I"),-1,1),"")</f>
        <v>125500</v>
      </c>
      <c r="AM230" s="905">
        <f t="shared" si="20"/>
        <v>14000</v>
      </c>
      <c r="AN230" s="905">
        <f>INDEX(G230:R230,1,MATCH(Parametres!$B$3,G$1:R$1,0))*IF(OR(F230="L",F230="S",F230="I"),-1,1)</f>
        <v>139500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21"/>
        <v>G0802</v>
      </c>
      <c r="AU230" s="488" t="str">
        <f t="shared" si="22"/>
        <v>LOCATION-USAGES</v>
      </c>
      <c r="AV230" s="899">
        <f>IFERROR(INDEX(V230:AG230,1,MATCH(Parametres!$B$3,V$1:AG$1,0)-1)*IF(OR(C230="L",C230="S",C230="I"),-1,1),"")</f>
        <v>0</v>
      </c>
      <c r="AW230" s="899">
        <f t="shared" si="23"/>
        <v>0</v>
      </c>
      <c r="AX230" s="899">
        <f>INDEX(V230:AG230,1,MATCH(Parametres!$B$3,V$1:AG$1,0))*IF(OR(C230="L",C230="S",C230="I"),-1,1)</f>
        <v>0</v>
      </c>
      <c r="AY230" s="487" t="s">
        <v>337</v>
      </c>
      <c r="AZ230" s="487">
        <f>+VLOOKUP($AJ230,Data_Validation!$A:$E,5,0)</f>
        <v>0</v>
      </c>
    </row>
    <row r="231" spans="1:52" ht="15" hidden="1" customHeight="1">
      <c r="A231" s="706" t="s">
        <v>1148</v>
      </c>
      <c r="B231" s="706">
        <v>2025</v>
      </c>
      <c r="C231" s="706" t="s">
        <v>1636</v>
      </c>
      <c r="D231" s="706" t="s">
        <v>1637</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G0803</v>
      </c>
      <c r="AK231" s="905" t="str">
        <f t="shared" si="19"/>
        <v>LOCATION U.S.A.</v>
      </c>
      <c r="AL231" s="905">
        <f>IFERROR(INDEX(G231:R231,1,MATCH(Parametres!$B$3,G$1:R$1,0)-1)*IF(OR(F231="L",F231="S",F231="I"),-1,1),"")</f>
        <v>0</v>
      </c>
      <c r="AM231" s="905">
        <f t="shared" si="20"/>
        <v>0</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21"/>
        <v>G0803</v>
      </c>
      <c r="AU231" s="488" t="str">
        <f t="shared" si="22"/>
        <v>LOCATION U.S.A.</v>
      </c>
      <c r="AV231" s="899">
        <f>IFERROR(INDEX(V231:AG231,1,MATCH(Parametres!$B$3,V$1:AG$1,0)-1)*IF(OR(C231="L",C231="S",C231="I"),-1,1),"")</f>
        <v>0</v>
      </c>
      <c r="AW231" s="899">
        <f t="shared" si="23"/>
        <v>0</v>
      </c>
      <c r="AX231" s="899">
        <f>INDEX(V231:AG231,1,MATCH(Parametres!$B$3,V$1:AG$1,0))*IF(OR(C231="L",C231="S",C231="I"),-1,1)</f>
        <v>0</v>
      </c>
      <c r="AY231" s="487" t="s">
        <v>337</v>
      </c>
      <c r="AZ231" s="487">
        <f>+VLOOKUP($AJ231,Data_Validation!$A:$E,5,0)</f>
        <v>0</v>
      </c>
    </row>
    <row r="232" spans="1:52" ht="15" hidden="1" customHeight="1">
      <c r="A232" s="706" t="s">
        <v>1148</v>
      </c>
      <c r="B232" s="706">
        <v>2025</v>
      </c>
      <c r="C232" s="706" t="s">
        <v>1638</v>
      </c>
      <c r="D232" s="706" t="s">
        <v>1639</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G0804</v>
      </c>
      <c r="AK232" s="905" t="str">
        <f t="shared" si="19"/>
        <v>LOCATION-SERVICE</v>
      </c>
      <c r="AL232" s="905">
        <f>IFERROR(INDEX(G232:R232,1,MATCH(Parametres!$B$3,G$1:R$1,0)-1)*IF(OR(F232="L",F232="S",F232="I"),-1,1),"")</f>
        <v>188250</v>
      </c>
      <c r="AM232" s="905">
        <f t="shared" si="20"/>
        <v>21000</v>
      </c>
      <c r="AN232" s="905">
        <f>INDEX(G232:R232,1,MATCH(Parametres!$B$3,G$1:R$1,0))*IF(OR(F232="L",F232="S",F232="I"),-1,1)</f>
        <v>209250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21"/>
        <v>G0804</v>
      </c>
      <c r="AU232" s="488" t="str">
        <f t="shared" si="22"/>
        <v>LOCATION-SERVICE</v>
      </c>
      <c r="AV232" s="899">
        <f>IFERROR(INDEX(V232:AG232,1,MATCH(Parametres!$B$3,V$1:AG$1,0)-1)*IF(OR(C232="L",C232="S",C232="I"),-1,1),"")</f>
        <v>0</v>
      </c>
      <c r="AW232" s="899">
        <f t="shared" si="23"/>
        <v>0</v>
      </c>
      <c r="AX232" s="899">
        <f>INDEX(V232:AG232,1,MATCH(Parametres!$B$3,V$1:AG$1,0))*IF(OR(C232="L",C232="S",C232="I"),-1,1)</f>
        <v>0</v>
      </c>
      <c r="AY232" s="487" t="s">
        <v>337</v>
      </c>
      <c r="AZ232" s="487">
        <f>+VLOOKUP($AJ232,Data_Validation!$A:$E,5,0)</f>
        <v>0</v>
      </c>
    </row>
    <row r="233" spans="1:52" ht="15" hidden="1" customHeight="1">
      <c r="A233" s="706" t="s">
        <v>1148</v>
      </c>
      <c r="B233" s="706">
        <v>2025</v>
      </c>
      <c r="C233" s="706" t="s">
        <v>1640</v>
      </c>
      <c r="D233" s="706" t="s">
        <v>1641</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G0805</v>
      </c>
      <c r="AK233" s="905" t="str">
        <f t="shared" si="19"/>
        <v>LOCATION-CARROSSERIE</v>
      </c>
      <c r="AL233" s="905">
        <f>IFERROR(INDEX(G233:R233,1,MATCH(Parametres!$B$3,G$1:R$1,0)-1)*IF(OR(F233="L",F233="S",F233="I"),-1,1),"")</f>
        <v>62750</v>
      </c>
      <c r="AM233" s="905">
        <f t="shared" si="20"/>
        <v>7000</v>
      </c>
      <c r="AN233" s="905">
        <f>INDEX(G233:R233,1,MATCH(Parametres!$B$3,G$1:R$1,0))*IF(OR(F233="L",F233="S",F233="I"),-1,1)</f>
        <v>69750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21"/>
        <v>G0805</v>
      </c>
      <c r="AU233" s="488" t="str">
        <f t="shared" si="22"/>
        <v>LOCATION-CARROSSERIE</v>
      </c>
      <c r="AV233" s="899">
        <f>IFERROR(INDEX(V233:AG233,1,MATCH(Parametres!$B$3,V$1:AG$1,0)-1)*IF(OR(C233="L",C233="S",C233="I"),-1,1),"")</f>
        <v>0</v>
      </c>
      <c r="AW233" s="899">
        <f t="shared" si="23"/>
        <v>0</v>
      </c>
      <c r="AX233" s="899">
        <f>INDEX(V233:AG233,1,MATCH(Parametres!$B$3,V$1:AG$1,0))*IF(OR(C233="L",C233="S",C233="I"),-1,1)</f>
        <v>0</v>
      </c>
      <c r="AY233" s="487" t="s">
        <v>337</v>
      </c>
      <c r="AZ233" s="487">
        <f>+VLOOKUP($AJ233,Data_Validation!$A:$E,5,0)</f>
        <v>0</v>
      </c>
    </row>
    <row r="234" spans="1:52" ht="15.75" hidden="1" customHeight="1">
      <c r="A234" s="706" t="s">
        <v>1148</v>
      </c>
      <c r="B234" s="706">
        <v>2025</v>
      </c>
      <c r="C234" s="706" t="s">
        <v>1642</v>
      </c>
      <c r="D234" s="706" t="s">
        <v>1643</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G0806</v>
      </c>
      <c r="AK234" s="905" t="str">
        <f t="shared" si="19"/>
        <v>LOCATION-PIECES</v>
      </c>
      <c r="AL234" s="905">
        <f>IFERROR(INDEX(G234:R234,1,MATCH(Parametres!$B$3,G$1:R$1,0)-1)*IF(OR(F234="L",F234="S",F234="I"),-1,1),"")</f>
        <v>62750</v>
      </c>
      <c r="AM234" s="905">
        <f t="shared" si="20"/>
        <v>7000</v>
      </c>
      <c r="AN234" s="905">
        <f>INDEX(G234:R234,1,MATCH(Parametres!$B$3,G$1:R$1,0))*IF(OR(F234="L",F234="S",F234="I"),-1,1)</f>
        <v>69750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21"/>
        <v>G0806</v>
      </c>
      <c r="AU234" s="488" t="str">
        <f t="shared" si="22"/>
        <v>LOCATION-PIECES</v>
      </c>
      <c r="AV234" s="899">
        <f>IFERROR(INDEX(V234:AG234,1,MATCH(Parametres!$B$3,V$1:AG$1,0)-1)*IF(OR(C234="L",C234="S",C234="I"),-1,1),"")</f>
        <v>0</v>
      </c>
      <c r="AW234" s="899">
        <f t="shared" si="23"/>
        <v>0</v>
      </c>
      <c r="AX234" s="899">
        <f>INDEX(V234:AG234,1,MATCH(Parametres!$B$3,V$1:AG$1,0))*IF(OR(C234="L",C234="S",C234="I"),-1,1)</f>
        <v>0</v>
      </c>
      <c r="AY234" s="487" t="s">
        <v>337</v>
      </c>
      <c r="AZ234" s="487">
        <f>+VLOOKUP($AJ234,Data_Validation!$A:$E,5,0)</f>
        <v>0</v>
      </c>
    </row>
    <row r="235" spans="1:52" ht="15" customHeight="1">
      <c r="A235" s="706" t="s">
        <v>1148</v>
      </c>
      <c r="B235" s="706">
        <v>2025</v>
      </c>
      <c r="C235" s="706" t="s">
        <v>1644</v>
      </c>
      <c r="D235" s="706" t="s">
        <v>1645</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G0810</v>
      </c>
      <c r="AK235" s="905" t="str">
        <f t="shared" si="19"/>
        <v>LOYER TERRAIN</v>
      </c>
      <c r="AL235" s="905">
        <f>IFERROR(INDEX(G235:R235,1,MATCH(Parametres!$B$3,G$1:R$1,0)-1)*IF(OR(F235="L",F235="S",F235="I"),-1,1),"")</f>
        <v>0</v>
      </c>
      <c r="AM235" s="905">
        <f t="shared" si="20"/>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G0810</v>
      </c>
      <c r="AU235" s="488" t="str">
        <f t="shared" si="22"/>
        <v>LOYER TERRAIN</v>
      </c>
      <c r="AV235" s="899">
        <f>IFERROR(INDEX(V235:AG235,1,MATCH(Parametres!$B$3,V$1:AG$1,0)-1)*IF(OR(C235="L",C235="S",C235="I"),-1,1),"")</f>
        <v>0</v>
      </c>
      <c r="AW235" s="899">
        <f t="shared" si="23"/>
        <v>0</v>
      </c>
      <c r="AX235" s="899">
        <f>INDEX(V235:AG235,1,MATCH(Parametres!$B$3,V$1:AG$1,0))*IF(OR(C235="L",C235="S",C235="I"),-1,1)</f>
        <v>0</v>
      </c>
      <c r="AY235" s="487" t="s">
        <v>337</v>
      </c>
      <c r="AZ235" s="487" t="e">
        <f>+VLOOKUP($AJ235,Data_Validation!$A:$E,5,0)</f>
        <v>#N/A</v>
      </c>
    </row>
    <row r="236" spans="1:52" ht="15" hidden="1" customHeight="1">
      <c r="A236" s="706" t="s">
        <v>1148</v>
      </c>
      <c r="B236" s="706">
        <v>2025</v>
      </c>
      <c r="C236" s="706" t="s">
        <v>1646</v>
      </c>
      <c r="D236" s="706" t="s">
        <v>1647</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G0811</v>
      </c>
      <c r="AK236" s="905" t="str">
        <f t="shared" si="19"/>
        <v>LOYER TERRAIN-NEUF</v>
      </c>
      <c r="AL236" s="905">
        <f>IFERROR(INDEX(G236:R236,1,MATCH(Parametres!$B$3,G$1:R$1,0)-1)*IF(OR(F236="L",F236="S",F236="I"),-1,1),"")</f>
        <v>111436.95</v>
      </c>
      <c r="AM236" s="905">
        <f t="shared" si="20"/>
        <v>18345.14</v>
      </c>
      <c r="AN236" s="905">
        <f>INDEX(G236:R236,1,MATCH(Parametres!$B$3,G$1:R$1,0))*IF(OR(F236="L",F236="S",F236="I"),-1,1)</f>
        <v>129782.09</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21"/>
        <v>G0811</v>
      </c>
      <c r="AU236" s="488" t="str">
        <f t="shared" si="22"/>
        <v>LOYER TERRAIN-NEUF</v>
      </c>
      <c r="AV236" s="899">
        <f>IFERROR(INDEX(V236:AG236,1,MATCH(Parametres!$B$3,V$1:AG$1,0)-1)*IF(OR(C236="L",C236="S",C236="I"),-1,1),"")</f>
        <v>0</v>
      </c>
      <c r="AW236" s="899">
        <f t="shared" si="23"/>
        <v>0</v>
      </c>
      <c r="AX236" s="899">
        <f>INDEX(V236:AG236,1,MATCH(Parametres!$B$3,V$1:AG$1,0))*IF(OR(C236="L",C236="S",C236="I"),-1,1)</f>
        <v>0</v>
      </c>
      <c r="AY236" s="487" t="s">
        <v>337</v>
      </c>
      <c r="AZ236" s="487">
        <f>+VLOOKUP($AJ236,Data_Validation!$A:$E,5,0)</f>
        <v>0</v>
      </c>
    </row>
    <row r="237" spans="1:52" ht="15" hidden="1" customHeight="1">
      <c r="A237" s="706" t="s">
        <v>1148</v>
      </c>
      <c r="B237" s="706">
        <v>2025</v>
      </c>
      <c r="C237" s="706" t="s">
        <v>1648</v>
      </c>
      <c r="D237" s="706" t="s">
        <v>1649</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G0812</v>
      </c>
      <c r="AK237" s="905" t="str">
        <f t="shared" si="19"/>
        <v>LOYER TERRAIN-USAGES</v>
      </c>
      <c r="AL237" s="905">
        <f>IFERROR(INDEX(G237:R237,1,MATCH(Parametres!$B$3,G$1:R$1,0)-1)*IF(OR(F237="L",F237="S",F237="I"),-1,1),"")</f>
        <v>65574.63</v>
      </c>
      <c r="AM237" s="905">
        <f t="shared" si="20"/>
        <v>12230.080000000002</v>
      </c>
      <c r="AN237" s="905">
        <f>INDEX(G237:R237,1,MATCH(Parametres!$B$3,G$1:R$1,0))*IF(OR(F237="L",F237="S",F237="I"),-1,1)</f>
        <v>77804.710000000006</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21"/>
        <v>G0812</v>
      </c>
      <c r="AU237" s="488" t="str">
        <f t="shared" si="22"/>
        <v>LOYER TERRAIN-USAGES</v>
      </c>
      <c r="AV237" s="899">
        <f>IFERROR(INDEX(V237:AG237,1,MATCH(Parametres!$B$3,V$1:AG$1,0)-1)*IF(OR(C237="L",C237="S",C237="I"),-1,1),"")</f>
        <v>0</v>
      </c>
      <c r="AW237" s="899">
        <f t="shared" si="23"/>
        <v>0</v>
      </c>
      <c r="AX237" s="899">
        <f>INDEX(V237:AG237,1,MATCH(Parametres!$B$3,V$1:AG$1,0))*IF(OR(C237="L",C237="S",C237="I"),-1,1)</f>
        <v>0</v>
      </c>
      <c r="AY237" s="487" t="s">
        <v>337</v>
      </c>
      <c r="AZ237" s="487">
        <f>+VLOOKUP($AJ237,Data_Validation!$A:$E,5,0)</f>
        <v>0</v>
      </c>
    </row>
    <row r="238" spans="1:52" ht="15.75" hidden="1" customHeight="1">
      <c r="A238" s="706" t="s">
        <v>1148</v>
      </c>
      <c r="B238" s="706">
        <v>2025</v>
      </c>
      <c r="C238" s="706" t="s">
        <v>1650</v>
      </c>
      <c r="D238" s="706" t="s">
        <v>1651</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G0813</v>
      </c>
      <c r="AK238" s="905" t="str">
        <f t="shared" si="19"/>
        <v>LOYER TERRAIN-U.S.A</v>
      </c>
      <c r="AL238" s="905">
        <f>IFERROR(INDEX(G238:R238,1,MATCH(Parametres!$B$3,G$1:R$1,0)-1)*IF(OR(F238="L",F238="S",F238="I"),-1,1),"")</f>
        <v>0</v>
      </c>
      <c r="AM238" s="905">
        <f t="shared" si="20"/>
        <v>0</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21"/>
        <v>G0813</v>
      </c>
      <c r="AU238" s="488" t="str">
        <f t="shared" si="22"/>
        <v>LOYER TERRAIN-U.S.A</v>
      </c>
      <c r="AV238" s="899">
        <f>IFERROR(INDEX(V238:AG238,1,MATCH(Parametres!$B$3,V$1:AG$1,0)-1)*IF(OR(C238="L",C238="S",C238="I"),-1,1),"")</f>
        <v>0</v>
      </c>
      <c r="AW238" s="899">
        <f t="shared" si="23"/>
        <v>0</v>
      </c>
      <c r="AX238" s="899">
        <f>INDEX(V238:AG238,1,MATCH(Parametres!$B$3,V$1:AG$1,0))*IF(OR(C238="L",C238="S",C238="I"),-1,1)</f>
        <v>0</v>
      </c>
      <c r="AY238" s="487" t="s">
        <v>337</v>
      </c>
      <c r="AZ238" s="487">
        <f>+VLOOKUP($AJ238,Data_Validation!$A:$E,5,0)</f>
        <v>0</v>
      </c>
    </row>
    <row r="239" spans="1:52" ht="15" hidden="1" customHeight="1">
      <c r="A239" s="706" t="s">
        <v>1148</v>
      </c>
      <c r="B239" s="706">
        <v>2025</v>
      </c>
      <c r="C239" s="706" t="s">
        <v>1652</v>
      </c>
      <c r="D239" s="706" t="s">
        <v>1653</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G0814</v>
      </c>
      <c r="AK239" s="905" t="str">
        <f t="shared" si="19"/>
        <v>LOYER TERRAIN-SERVICE</v>
      </c>
      <c r="AL239" s="905">
        <f>IFERROR(INDEX(G239:R239,1,MATCH(Parametres!$B$3,G$1:R$1,0)-1)*IF(OR(F239="L",F239="S",F239="I"),-1,1),"")</f>
        <v>108936.95</v>
      </c>
      <c r="AM239" s="905">
        <f t="shared" si="20"/>
        <v>18345.14</v>
      </c>
      <c r="AN239" s="905">
        <f>INDEX(G239:R239,1,MATCH(Parametres!$B$3,G$1:R$1,0))*IF(OR(F239="L",F239="S",F239="I"),-1,1)</f>
        <v>127282.09</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21"/>
        <v>G0814</v>
      </c>
      <c r="AU239" s="488" t="str">
        <f t="shared" si="22"/>
        <v>LOYER TERRAIN-SERVICE</v>
      </c>
      <c r="AV239" s="899">
        <f>IFERROR(INDEX(V239:AG239,1,MATCH(Parametres!$B$3,V$1:AG$1,0)-1)*IF(OR(C239="L",C239="S",C239="I"),-1,1),"")</f>
        <v>0</v>
      </c>
      <c r="AW239" s="899">
        <f t="shared" si="23"/>
        <v>0</v>
      </c>
      <c r="AX239" s="899">
        <f>INDEX(V239:AG239,1,MATCH(Parametres!$B$3,V$1:AG$1,0))*IF(OR(C239="L",C239="S",C239="I"),-1,1)</f>
        <v>0</v>
      </c>
      <c r="AY239" s="487" t="s">
        <v>337</v>
      </c>
      <c r="AZ239" s="487">
        <f>+VLOOKUP($AJ239,Data_Validation!$A:$E,5,0)</f>
        <v>0</v>
      </c>
    </row>
    <row r="240" spans="1:52" ht="15" hidden="1" customHeight="1">
      <c r="A240" s="706" t="s">
        <v>1148</v>
      </c>
      <c r="B240" s="706">
        <v>2025</v>
      </c>
      <c r="C240" s="706" t="s">
        <v>1654</v>
      </c>
      <c r="D240" s="706" t="s">
        <v>1655</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G0815</v>
      </c>
      <c r="AK240" s="905" t="str">
        <f t="shared" si="19"/>
        <v>LOYER TERRAIN-CARROSSERIE</v>
      </c>
      <c r="AL240" s="905">
        <f>IFERROR(INDEX(G240:R240,1,MATCH(Parametres!$B$3,G$1:R$1,0)-1)*IF(OR(F240="L",F240="S",F240="I"),-1,1),"")</f>
        <v>36312.32</v>
      </c>
      <c r="AM240" s="905">
        <f t="shared" si="20"/>
        <v>6115.0599999999977</v>
      </c>
      <c r="AN240" s="905">
        <f>INDEX(G240:R240,1,MATCH(Parametres!$B$3,G$1:R$1,0))*IF(OR(F240="L",F240="S",F240="I"),-1,1)</f>
        <v>42427.38</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21"/>
        <v>G0815</v>
      </c>
      <c r="AU240" s="488" t="str">
        <f t="shared" si="22"/>
        <v>LOYER TERRAIN-CARROSSERIE</v>
      </c>
      <c r="AV240" s="899">
        <f>IFERROR(INDEX(V240:AG240,1,MATCH(Parametres!$B$3,V$1:AG$1,0)-1)*IF(OR(C240="L",C240="S",C240="I"),-1,1),"")</f>
        <v>0</v>
      </c>
      <c r="AW240" s="899">
        <f t="shared" si="23"/>
        <v>0</v>
      </c>
      <c r="AX240" s="899">
        <f>INDEX(V240:AG240,1,MATCH(Parametres!$B$3,V$1:AG$1,0))*IF(OR(C240="L",C240="S",C240="I"),-1,1)</f>
        <v>0</v>
      </c>
      <c r="AY240" s="487" t="s">
        <v>337</v>
      </c>
      <c r="AZ240" s="487">
        <f>+VLOOKUP($AJ240,Data_Validation!$A:$E,5,0)</f>
        <v>0</v>
      </c>
    </row>
    <row r="241" spans="1:52" ht="15" hidden="1" customHeight="1">
      <c r="A241" s="706" t="s">
        <v>1148</v>
      </c>
      <c r="B241" s="706">
        <v>2025</v>
      </c>
      <c r="C241" s="706" t="s">
        <v>1656</v>
      </c>
      <c r="D241" s="706" t="s">
        <v>1657</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G0816</v>
      </c>
      <c r="AK241" s="905" t="str">
        <f t="shared" si="19"/>
        <v>LOYER TERRAIN- PIECES</v>
      </c>
      <c r="AL241" s="905">
        <f>IFERROR(INDEX(G241:R241,1,MATCH(Parametres!$B$3,G$1:R$1,0)-1)*IF(OR(F241="L",F241="S",F241="I"),-1,1),"")</f>
        <v>36312.29</v>
      </c>
      <c r="AM241" s="905">
        <f t="shared" si="20"/>
        <v>6115.0199999999968</v>
      </c>
      <c r="AN241" s="905">
        <f>INDEX(G241:R241,1,MATCH(Parametres!$B$3,G$1:R$1,0))*IF(OR(F241="L",F241="S",F241="I"),-1,1)</f>
        <v>42427.31</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21"/>
        <v>G0816</v>
      </c>
      <c r="AU241" s="488" t="str">
        <f t="shared" si="22"/>
        <v>LOYER TERRAIN- PIECES</v>
      </c>
      <c r="AV241" s="899">
        <f>IFERROR(INDEX(V241:AG241,1,MATCH(Parametres!$B$3,V$1:AG$1,0)-1)*IF(OR(C241="L",C241="S",C241="I"),-1,1),"")</f>
        <v>0</v>
      </c>
      <c r="AW241" s="899">
        <f t="shared" si="23"/>
        <v>0</v>
      </c>
      <c r="AX241" s="899">
        <f>INDEX(V241:AG241,1,MATCH(Parametres!$B$3,V$1:AG$1,0))*IF(OR(C241="L",C241="S",C241="I"),-1,1)</f>
        <v>0</v>
      </c>
      <c r="AY241" s="487" t="s">
        <v>337</v>
      </c>
      <c r="AZ241" s="487">
        <f>+VLOOKUP($AJ241,Data_Validation!$A:$E,5,0)</f>
        <v>0</v>
      </c>
    </row>
    <row r="242" spans="1:52" ht="15" customHeight="1">
      <c r="A242" s="706" t="s">
        <v>1148</v>
      </c>
      <c r="B242" s="706">
        <v>2025</v>
      </c>
      <c r="C242" s="706" t="s">
        <v>1658</v>
      </c>
      <c r="D242" s="706" t="s">
        <v>1659</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G0820</v>
      </c>
      <c r="AK242" s="905" t="str">
        <f t="shared" si="19"/>
        <v>ENT BATIMENT REP.</v>
      </c>
      <c r="AL242" s="905">
        <f>IFERROR(INDEX(G242:R242,1,MATCH(Parametres!$B$3,G$1:R$1,0)-1)*IF(OR(F242="L",F242="S",F242="I"),-1,1),"")</f>
        <v>0</v>
      </c>
      <c r="AM242" s="905">
        <f t="shared" si="20"/>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21"/>
        <v>G0820</v>
      </c>
      <c r="AU242" s="488" t="str">
        <f t="shared" si="22"/>
        <v>ENT BATIMENT REP.</v>
      </c>
      <c r="AV242" s="899">
        <f>IFERROR(INDEX(V242:AG242,1,MATCH(Parametres!$B$3,V$1:AG$1,0)-1)*IF(OR(C242="L",C242="S",C242="I"),-1,1),"")</f>
        <v>0</v>
      </c>
      <c r="AW242" s="899">
        <f t="shared" si="23"/>
        <v>0</v>
      </c>
      <c r="AX242" s="899">
        <f>INDEX(V242:AG242,1,MATCH(Parametres!$B$3,V$1:AG$1,0))*IF(OR(C242="L",C242="S",C242="I"),-1,1)</f>
        <v>0</v>
      </c>
      <c r="AY242" s="487" t="s">
        <v>337</v>
      </c>
      <c r="AZ242" s="487" t="e">
        <f>+VLOOKUP($AJ242,Data_Validation!$A:$E,5,0)</f>
        <v>#N/A</v>
      </c>
    </row>
    <row r="243" spans="1:52" ht="15.75" hidden="1" customHeight="1">
      <c r="A243" s="706" t="s">
        <v>1148</v>
      </c>
      <c r="B243" s="706">
        <v>2025</v>
      </c>
      <c r="C243" s="706" t="s">
        <v>1660</v>
      </c>
      <c r="D243" s="706" t="s">
        <v>1661</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G0821</v>
      </c>
      <c r="AK243" s="905" t="str">
        <f t="shared" si="19"/>
        <v>ENT. REP. BATISSE-NEUFS</v>
      </c>
      <c r="AL243" s="905">
        <f>IFERROR(INDEX(G243:R243,1,MATCH(Parametres!$B$3,G$1:R$1,0)-1)*IF(OR(F243="L",F243="S",F243="I"),-1,1),"")</f>
        <v>23940.01</v>
      </c>
      <c r="AM243" s="905">
        <f t="shared" si="20"/>
        <v>5653.8600000000006</v>
      </c>
      <c r="AN243" s="905">
        <f>INDEX(G243:R243,1,MATCH(Parametres!$B$3,G$1:R$1,0))*IF(OR(F243="L",F243="S",F243="I"),-1,1)</f>
        <v>29593.87</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21"/>
        <v>G0821</v>
      </c>
      <c r="AU243" s="488" t="str">
        <f t="shared" si="22"/>
        <v>ENT. REP. BATISSE-NEUFS</v>
      </c>
      <c r="AV243" s="899">
        <f>IFERROR(INDEX(V243:AG243,1,MATCH(Parametres!$B$3,V$1:AG$1,0)-1)*IF(OR(C243="L",C243="S",C243="I"),-1,1),"")</f>
        <v>0</v>
      </c>
      <c r="AW243" s="899">
        <f t="shared" si="23"/>
        <v>0</v>
      </c>
      <c r="AX243" s="899">
        <f>INDEX(V243:AG243,1,MATCH(Parametres!$B$3,V$1:AG$1,0))*IF(OR(C243="L",C243="S",C243="I"),-1,1)</f>
        <v>0</v>
      </c>
      <c r="AY243" s="487" t="s">
        <v>337</v>
      </c>
      <c r="AZ243" s="487">
        <f>+VLOOKUP($AJ243,Data_Validation!$A:$E,5,0)</f>
        <v>0</v>
      </c>
    </row>
    <row r="244" spans="1:52" ht="15" hidden="1" customHeight="1">
      <c r="A244" s="706" t="s">
        <v>1148</v>
      </c>
      <c r="B244" s="706">
        <v>2025</v>
      </c>
      <c r="C244" s="706" t="s">
        <v>1662</v>
      </c>
      <c r="D244" s="706" t="s">
        <v>1663</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G0822</v>
      </c>
      <c r="AK244" s="905" t="str">
        <f t="shared" si="19"/>
        <v>ENT. REP. BATISSE-USAGES</v>
      </c>
      <c r="AL244" s="905">
        <f>IFERROR(INDEX(G244:R244,1,MATCH(Parametres!$B$3,G$1:R$1,0)-1)*IF(OR(F244="L",F244="S",F244="I"),-1,1),"")</f>
        <v>15925.44</v>
      </c>
      <c r="AM244" s="905">
        <f t="shared" si="20"/>
        <v>3610.659999999998</v>
      </c>
      <c r="AN244" s="905">
        <f>INDEX(G244:R244,1,MATCH(Parametres!$B$3,G$1:R$1,0))*IF(OR(F244="L",F244="S",F244="I"),-1,1)</f>
        <v>19536.099999999999</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21"/>
        <v>G0822</v>
      </c>
      <c r="AU244" s="488" t="str">
        <f t="shared" si="22"/>
        <v>ENT. REP. BATISSE-USAGES</v>
      </c>
      <c r="AV244" s="899">
        <f>IFERROR(INDEX(V244:AG244,1,MATCH(Parametres!$B$3,V$1:AG$1,0)-1)*IF(OR(C244="L",C244="S",C244="I"),-1,1),"")</f>
        <v>0</v>
      </c>
      <c r="AW244" s="899">
        <f t="shared" si="23"/>
        <v>0</v>
      </c>
      <c r="AX244" s="899">
        <f>INDEX(V244:AG244,1,MATCH(Parametres!$B$3,V$1:AG$1,0))*IF(OR(C244="L",C244="S",C244="I"),-1,1)</f>
        <v>0</v>
      </c>
      <c r="AY244" s="487" t="s">
        <v>337</v>
      </c>
      <c r="AZ244" s="487">
        <f>+VLOOKUP($AJ244,Data_Validation!$A:$E,5,0)</f>
        <v>0</v>
      </c>
    </row>
    <row r="245" spans="1:52" ht="15" hidden="1" customHeight="1">
      <c r="A245" s="706" t="s">
        <v>1148</v>
      </c>
      <c r="B245" s="706">
        <v>2025</v>
      </c>
      <c r="C245" s="706" t="s">
        <v>1664</v>
      </c>
      <c r="D245" s="706" t="s">
        <v>1665</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G0823</v>
      </c>
      <c r="AK245" s="905" t="str">
        <f t="shared" si="19"/>
        <v>ENT. REP. BATISSE U.S.A</v>
      </c>
      <c r="AL245" s="905">
        <f>IFERROR(INDEX(G245:R245,1,MATCH(Parametres!$B$3,G$1:R$1,0)-1)*IF(OR(F245="L",F245="S",F245="I"),-1,1),"")</f>
        <v>331.8</v>
      </c>
      <c r="AM245" s="905">
        <f t="shared" si="20"/>
        <v>0</v>
      </c>
      <c r="AN245" s="905">
        <f>INDEX(G245:R245,1,MATCH(Parametres!$B$3,G$1:R$1,0))*IF(OR(F245="L",F245="S",F245="I"),-1,1)</f>
        <v>331.8</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21"/>
        <v>G0823</v>
      </c>
      <c r="AU245" s="488" t="str">
        <f t="shared" si="22"/>
        <v>ENT. REP. BATISSE U.S.A</v>
      </c>
      <c r="AV245" s="899">
        <f>IFERROR(INDEX(V245:AG245,1,MATCH(Parametres!$B$3,V$1:AG$1,0)-1)*IF(OR(C245="L",C245="S",C245="I"),-1,1),"")</f>
        <v>0</v>
      </c>
      <c r="AW245" s="899">
        <f t="shared" si="23"/>
        <v>0</v>
      </c>
      <c r="AX245" s="899">
        <f>INDEX(V245:AG245,1,MATCH(Parametres!$B$3,V$1:AG$1,0))*IF(OR(C245="L",C245="S",C245="I"),-1,1)</f>
        <v>0</v>
      </c>
      <c r="AY245" s="487" t="s">
        <v>337</v>
      </c>
      <c r="AZ245" s="487">
        <f>+VLOOKUP($AJ245,Data_Validation!$A:$E,5,0)</f>
        <v>0</v>
      </c>
    </row>
    <row r="246" spans="1:52" ht="15" hidden="1" customHeight="1">
      <c r="A246" s="706" t="s">
        <v>1148</v>
      </c>
      <c r="B246" s="706">
        <v>2025</v>
      </c>
      <c r="C246" s="706" t="s">
        <v>1666</v>
      </c>
      <c r="D246" s="706" t="s">
        <v>1667</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G0824</v>
      </c>
      <c r="AK246" s="905" t="str">
        <f t="shared" si="19"/>
        <v>ENT. REP. BATISSE-SERVICE</v>
      </c>
      <c r="AL246" s="905">
        <f>IFERROR(INDEX(G246:R246,1,MATCH(Parametres!$B$3,G$1:R$1,0)-1)*IF(OR(F246="L",F246="S",F246="I"),-1,1),"")</f>
        <v>35705.360000000001</v>
      </c>
      <c r="AM246" s="905">
        <f t="shared" si="20"/>
        <v>6501.3399999999965</v>
      </c>
      <c r="AN246" s="905">
        <f>INDEX(G246:R246,1,MATCH(Parametres!$B$3,G$1:R$1,0))*IF(OR(F246="L",F246="S",F246="I"),-1,1)</f>
        <v>42206.7</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21"/>
        <v>G0824</v>
      </c>
      <c r="AU246" s="488" t="str">
        <f t="shared" si="22"/>
        <v>ENT. REP. BATISSE-SERVICE</v>
      </c>
      <c r="AV246" s="899">
        <f>IFERROR(INDEX(V246:AG246,1,MATCH(Parametres!$B$3,V$1:AG$1,0)-1)*IF(OR(C246="L",C246="S",C246="I"),-1,1),"")</f>
        <v>0</v>
      </c>
      <c r="AW246" s="899">
        <f t="shared" si="23"/>
        <v>0</v>
      </c>
      <c r="AX246" s="899">
        <f>INDEX(V246:AG246,1,MATCH(Parametres!$B$3,V$1:AG$1,0))*IF(OR(C246="L",C246="S",C246="I"),-1,1)</f>
        <v>0</v>
      </c>
      <c r="AY246" s="487" t="s">
        <v>337</v>
      </c>
      <c r="AZ246" s="487">
        <f>+VLOOKUP($AJ246,Data_Validation!$A:$E,5,0)</f>
        <v>0</v>
      </c>
    </row>
    <row r="247" spans="1:52" ht="15.75" hidden="1" customHeight="1">
      <c r="A247" s="706" t="s">
        <v>1148</v>
      </c>
      <c r="B247" s="706">
        <v>2025</v>
      </c>
      <c r="C247" s="706" t="s">
        <v>1668</v>
      </c>
      <c r="D247" s="706" t="s">
        <v>1669</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G0825</v>
      </c>
      <c r="AK247" s="905" t="str">
        <f t="shared" si="19"/>
        <v>ENT. REP. BATISSE-CARROSS</v>
      </c>
      <c r="AL247" s="905">
        <f>IFERROR(INDEX(G247:R247,1,MATCH(Parametres!$B$3,G$1:R$1,0)-1)*IF(OR(F247="L",F247="S",F247="I"),-1,1),"")</f>
        <v>14950.09</v>
      </c>
      <c r="AM247" s="905">
        <f t="shared" si="20"/>
        <v>4510.68</v>
      </c>
      <c r="AN247" s="905">
        <f>INDEX(G247:R247,1,MATCH(Parametres!$B$3,G$1:R$1,0))*IF(OR(F247="L",F247="S",F247="I"),-1,1)</f>
        <v>19460.77</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21"/>
        <v>G0825</v>
      </c>
      <c r="AU247" s="488" t="str">
        <f t="shared" si="22"/>
        <v>ENT. REP. BATISSE-CARROSS</v>
      </c>
      <c r="AV247" s="899">
        <f>IFERROR(INDEX(V247:AG247,1,MATCH(Parametres!$B$3,V$1:AG$1,0)-1)*IF(OR(C247="L",C247="S",C247="I"),-1,1),"")</f>
        <v>0</v>
      </c>
      <c r="AW247" s="899">
        <f t="shared" si="23"/>
        <v>0</v>
      </c>
      <c r="AX247" s="899">
        <f>INDEX(V247:AG247,1,MATCH(Parametres!$B$3,V$1:AG$1,0))*IF(OR(C247="L",C247="S",C247="I"),-1,1)</f>
        <v>0</v>
      </c>
      <c r="AY247" s="487" t="s">
        <v>337</v>
      </c>
      <c r="AZ247" s="487">
        <f>+VLOOKUP($AJ247,Data_Validation!$A:$E,5,0)</f>
        <v>0</v>
      </c>
    </row>
    <row r="248" spans="1:52" ht="15" hidden="1" customHeight="1">
      <c r="A248" s="706" t="s">
        <v>1148</v>
      </c>
      <c r="B248" s="706">
        <v>2025</v>
      </c>
      <c r="C248" s="706" t="s">
        <v>1670</v>
      </c>
      <c r="D248" s="706" t="s">
        <v>1671</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G0826</v>
      </c>
      <c r="AK248" s="905" t="str">
        <f t="shared" si="19"/>
        <v>ENT. REP. BATISSE-PIECES</v>
      </c>
      <c r="AL248" s="905">
        <f>IFERROR(INDEX(G248:R248,1,MATCH(Parametres!$B$3,G$1:R$1,0)-1)*IF(OR(F248="L",F248="S",F248="I"),-1,1),"")</f>
        <v>7962.55</v>
      </c>
      <c r="AM248" s="905">
        <f t="shared" si="20"/>
        <v>1805.3100000000004</v>
      </c>
      <c r="AN248" s="905">
        <f>INDEX(G248:R248,1,MATCH(Parametres!$B$3,G$1:R$1,0))*IF(OR(F248="L",F248="S",F248="I"),-1,1)</f>
        <v>9767.86</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21"/>
        <v>G0826</v>
      </c>
      <c r="AU248" s="488" t="str">
        <f t="shared" si="22"/>
        <v>ENT. REP. BATISSE-PIECES</v>
      </c>
      <c r="AV248" s="899">
        <f>IFERROR(INDEX(V248:AG248,1,MATCH(Parametres!$B$3,V$1:AG$1,0)-1)*IF(OR(C248="L",C248="S",C248="I"),-1,1),"")</f>
        <v>0</v>
      </c>
      <c r="AW248" s="899">
        <f t="shared" si="23"/>
        <v>0</v>
      </c>
      <c r="AX248" s="899">
        <f>INDEX(V248:AG248,1,MATCH(Parametres!$B$3,V$1:AG$1,0))*IF(OR(C248="L",C248="S",C248="I"),-1,1)</f>
        <v>0</v>
      </c>
      <c r="AY248" s="487" t="s">
        <v>337</v>
      </c>
      <c r="AZ248" s="487">
        <f>+VLOOKUP($AJ248,Data_Validation!$A:$E,5,0)</f>
        <v>0</v>
      </c>
    </row>
    <row r="249" spans="1:52" ht="15" customHeight="1">
      <c r="A249" s="706" t="s">
        <v>1148</v>
      </c>
      <c r="B249" s="706">
        <v>2025</v>
      </c>
      <c r="C249" s="706" t="s">
        <v>1672</v>
      </c>
      <c r="D249" s="706" t="s">
        <v>1673</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G0830</v>
      </c>
      <c r="AK249" s="905" t="str">
        <f t="shared" si="19"/>
        <v>AMORT. BATIMENT REP</v>
      </c>
      <c r="AL249" s="905">
        <f>IFERROR(INDEX(G249:R249,1,MATCH(Parametres!$B$3,G$1:R$1,0)-1)*IF(OR(F249="L",F249="S",F249="I"),-1,1),"")</f>
        <v>0</v>
      </c>
      <c r="AM249" s="905">
        <f t="shared" si="20"/>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21"/>
        <v>G0830</v>
      </c>
      <c r="AU249" s="488" t="str">
        <f t="shared" si="22"/>
        <v>AMORT. BATIMENT REP</v>
      </c>
      <c r="AV249" s="899">
        <f>IFERROR(INDEX(V249:AG249,1,MATCH(Parametres!$B$3,V$1:AG$1,0)-1)*IF(OR(C249="L",C249="S",C249="I"),-1,1),"")</f>
        <v>0</v>
      </c>
      <c r="AW249" s="899">
        <f t="shared" si="23"/>
        <v>0</v>
      </c>
      <c r="AX249" s="899">
        <f>INDEX(V249:AG249,1,MATCH(Parametres!$B$3,V$1:AG$1,0))*IF(OR(C249="L",C249="S",C249="I"),-1,1)</f>
        <v>0</v>
      </c>
      <c r="AY249" s="487" t="s">
        <v>337</v>
      </c>
      <c r="AZ249" s="487" t="e">
        <f>+VLOOKUP($AJ249,Data_Validation!$A:$E,5,0)</f>
        <v>#N/A</v>
      </c>
    </row>
    <row r="250" spans="1:52" ht="15" hidden="1" customHeight="1">
      <c r="A250" s="706" t="s">
        <v>1148</v>
      </c>
      <c r="B250" s="706">
        <v>2025</v>
      </c>
      <c r="C250" s="706" t="s">
        <v>1674</v>
      </c>
      <c r="D250" s="706" t="s">
        <v>1675</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G0831</v>
      </c>
      <c r="AK250" s="905" t="str">
        <f t="shared" si="19"/>
        <v>AMORT. BATISSE-NEUFS</v>
      </c>
      <c r="AL250" s="905">
        <f>IFERROR(INDEX(G250:R250,1,MATCH(Parametres!$B$3,G$1:R$1,0)-1)*IF(OR(F250="L",F250="S",F250="I"),-1,1),"")</f>
        <v>378.45</v>
      </c>
      <c r="AM250" s="905">
        <f t="shared" si="20"/>
        <v>41.920000000000016</v>
      </c>
      <c r="AN250" s="905">
        <f>INDEX(G250:R250,1,MATCH(Parametres!$B$3,G$1:R$1,0))*IF(OR(F250="L",F250="S",F250="I"),-1,1)</f>
        <v>420.37</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21"/>
        <v>G0831</v>
      </c>
      <c r="AU250" s="488" t="str">
        <f t="shared" si="22"/>
        <v>AMORT. BATISSE-NEUFS</v>
      </c>
      <c r="AV250" s="899">
        <f>IFERROR(INDEX(V250:AG250,1,MATCH(Parametres!$B$3,V$1:AG$1,0)-1)*IF(OR(C250="L",C250="S",C250="I"),-1,1),"")</f>
        <v>0</v>
      </c>
      <c r="AW250" s="899">
        <f t="shared" si="23"/>
        <v>0</v>
      </c>
      <c r="AX250" s="899">
        <f>INDEX(V250:AG250,1,MATCH(Parametres!$B$3,V$1:AG$1,0))*IF(OR(C250="L",C250="S",C250="I"),-1,1)</f>
        <v>0</v>
      </c>
      <c r="AY250" s="487" t="s">
        <v>337</v>
      </c>
      <c r="AZ250" s="487">
        <f>+VLOOKUP($AJ250,Data_Validation!$A:$E,5,0)</f>
        <v>0</v>
      </c>
    </row>
    <row r="251" spans="1:52" ht="15" hidden="1" customHeight="1">
      <c r="A251" s="706" t="s">
        <v>1148</v>
      </c>
      <c r="B251" s="706">
        <v>2025</v>
      </c>
      <c r="C251" s="706" t="s">
        <v>1676</v>
      </c>
      <c r="D251" s="706" t="s">
        <v>1677</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G0832</v>
      </c>
      <c r="AK251" s="905" t="str">
        <f t="shared" si="19"/>
        <v>AMORT. BATISSE-USAGES</v>
      </c>
      <c r="AL251" s="905">
        <f>IFERROR(INDEX(G251:R251,1,MATCH(Parametres!$B$3,G$1:R$1,0)-1)*IF(OR(F251="L",F251="S",F251="I"),-1,1),"")</f>
        <v>252.33</v>
      </c>
      <c r="AM251" s="905">
        <f t="shared" si="20"/>
        <v>27.94999999999996</v>
      </c>
      <c r="AN251" s="905">
        <f>INDEX(G251:R251,1,MATCH(Parametres!$B$3,G$1:R$1,0))*IF(OR(F251="L",F251="S",F251="I"),-1,1)</f>
        <v>280.27999999999997</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21"/>
        <v>G0832</v>
      </c>
      <c r="AU251" s="488" t="str">
        <f t="shared" si="22"/>
        <v>AMORT. BATISSE-USAGES</v>
      </c>
      <c r="AV251" s="899">
        <f>IFERROR(INDEX(V251:AG251,1,MATCH(Parametres!$B$3,V$1:AG$1,0)-1)*IF(OR(C251="L",C251="S",C251="I"),-1,1),"")</f>
        <v>0</v>
      </c>
      <c r="AW251" s="899">
        <f t="shared" si="23"/>
        <v>0</v>
      </c>
      <c r="AX251" s="899">
        <f>INDEX(V251:AG251,1,MATCH(Parametres!$B$3,V$1:AG$1,0))*IF(OR(C251="L",C251="S",C251="I"),-1,1)</f>
        <v>0</v>
      </c>
      <c r="AY251" s="487" t="s">
        <v>337</v>
      </c>
      <c r="AZ251" s="487">
        <f>+VLOOKUP($AJ251,Data_Validation!$A:$E,5,0)</f>
        <v>0</v>
      </c>
    </row>
    <row r="252" spans="1:52" ht="15.75" hidden="1" customHeight="1">
      <c r="A252" s="706" t="s">
        <v>1148</v>
      </c>
      <c r="B252" s="706">
        <v>2025</v>
      </c>
      <c r="C252" s="706" t="s">
        <v>1678</v>
      </c>
      <c r="D252" s="706" t="s">
        <v>1679</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G0834</v>
      </c>
      <c r="AK252" s="905" t="str">
        <f t="shared" si="19"/>
        <v>AMORT. BATISSE-SERVICE</v>
      </c>
      <c r="AL252" s="905">
        <f>IFERROR(INDEX(G252:R252,1,MATCH(Parametres!$B$3,G$1:R$1,0)-1)*IF(OR(F252="L",F252="S",F252="I"),-1,1),"")</f>
        <v>378.45</v>
      </c>
      <c r="AM252" s="905">
        <f t="shared" si="20"/>
        <v>41.920000000000016</v>
      </c>
      <c r="AN252" s="905">
        <f>INDEX(G252:R252,1,MATCH(Parametres!$B$3,G$1:R$1,0))*IF(OR(F252="L",F252="S",F252="I"),-1,1)</f>
        <v>420.37</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21"/>
        <v>G0834</v>
      </c>
      <c r="AU252" s="488" t="str">
        <f t="shared" si="22"/>
        <v>AMORT. BATISSE-SERVICE</v>
      </c>
      <c r="AV252" s="899">
        <f>IFERROR(INDEX(V252:AG252,1,MATCH(Parametres!$B$3,V$1:AG$1,0)-1)*IF(OR(C252="L",C252="S",C252="I"),-1,1),"")</f>
        <v>0</v>
      </c>
      <c r="AW252" s="899">
        <f t="shared" si="23"/>
        <v>0</v>
      </c>
      <c r="AX252" s="899">
        <f>INDEX(V252:AG252,1,MATCH(Parametres!$B$3,V$1:AG$1,0))*IF(OR(C252="L",C252="S",C252="I"),-1,1)</f>
        <v>0</v>
      </c>
      <c r="AY252" s="487" t="s">
        <v>337</v>
      </c>
      <c r="AZ252" s="487">
        <f>+VLOOKUP($AJ252,Data_Validation!$A:$E,5,0)</f>
        <v>0</v>
      </c>
    </row>
    <row r="253" spans="1:52" ht="15" hidden="1" customHeight="1">
      <c r="A253" s="706" t="s">
        <v>1148</v>
      </c>
      <c r="B253" s="706">
        <v>2025</v>
      </c>
      <c r="C253" s="706" t="s">
        <v>1680</v>
      </c>
      <c r="D253" s="706" t="s">
        <v>1681</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G0835</v>
      </c>
      <c r="AK253" s="905" t="str">
        <f t="shared" si="19"/>
        <v>AMORT. BATISSE-CARROSS.</v>
      </c>
      <c r="AL253" s="905">
        <f>IFERROR(INDEX(G253:R253,1,MATCH(Parametres!$B$3,G$1:R$1,0)-1)*IF(OR(F253="L",F253="S",F253="I"),-1,1),"")</f>
        <v>126.12</v>
      </c>
      <c r="AM253" s="905">
        <f t="shared" si="20"/>
        <v>13.969999999999999</v>
      </c>
      <c r="AN253" s="905">
        <f>INDEX(G253:R253,1,MATCH(Parametres!$B$3,G$1:R$1,0))*IF(OR(F253="L",F253="S",F253="I"),-1,1)</f>
        <v>140.09</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21"/>
        <v>G0835</v>
      </c>
      <c r="AU253" s="488" t="str">
        <f t="shared" si="22"/>
        <v>AMORT. BATISSE-CARROSS.</v>
      </c>
      <c r="AV253" s="899">
        <f>IFERROR(INDEX(V253:AG253,1,MATCH(Parametres!$B$3,V$1:AG$1,0)-1)*IF(OR(C253="L",C253="S",C253="I"),-1,1),"")</f>
        <v>0</v>
      </c>
      <c r="AW253" s="899">
        <f t="shared" si="23"/>
        <v>0</v>
      </c>
      <c r="AX253" s="899">
        <f>INDEX(V253:AG253,1,MATCH(Parametres!$B$3,V$1:AG$1,0))*IF(OR(C253="L",C253="S",C253="I"),-1,1)</f>
        <v>0</v>
      </c>
      <c r="AY253" s="487" t="s">
        <v>337</v>
      </c>
      <c r="AZ253" s="487">
        <f>+VLOOKUP($AJ253,Data_Validation!$A:$E,5,0)</f>
        <v>0</v>
      </c>
    </row>
    <row r="254" spans="1:52" ht="15" hidden="1" customHeight="1">
      <c r="A254" s="706" t="s">
        <v>1148</v>
      </c>
      <c r="B254" s="706">
        <v>2025</v>
      </c>
      <c r="C254" s="706" t="s">
        <v>1682</v>
      </c>
      <c r="D254" s="706" t="s">
        <v>1683</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G0836</v>
      </c>
      <c r="AK254" s="905" t="str">
        <f t="shared" si="19"/>
        <v>AMORT. BATISSE-PIECES</v>
      </c>
      <c r="AL254" s="905">
        <f>IFERROR(INDEX(G254:R254,1,MATCH(Parametres!$B$3,G$1:R$1,0)-1)*IF(OR(F254="L",F254="S",F254="I"),-1,1),"")</f>
        <v>126.12</v>
      </c>
      <c r="AM254" s="905">
        <f t="shared" si="20"/>
        <v>13.969999999999999</v>
      </c>
      <c r="AN254" s="905">
        <f>INDEX(G254:R254,1,MATCH(Parametres!$B$3,G$1:R$1,0))*IF(OR(F254="L",F254="S",F254="I"),-1,1)</f>
        <v>140.09</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21"/>
        <v>G0836</v>
      </c>
      <c r="AU254" s="488" t="str">
        <f t="shared" si="22"/>
        <v>AMORT. BATISSE-PIECES</v>
      </c>
      <c r="AV254" s="899">
        <f>IFERROR(INDEX(V254:AG254,1,MATCH(Parametres!$B$3,V$1:AG$1,0)-1)*IF(OR(C254="L",C254="S",C254="I"),-1,1),"")</f>
        <v>0</v>
      </c>
      <c r="AW254" s="899">
        <f t="shared" si="23"/>
        <v>0</v>
      </c>
      <c r="AX254" s="899">
        <f>INDEX(V254:AG254,1,MATCH(Parametres!$B$3,V$1:AG$1,0))*IF(OR(C254="L",C254="S",C254="I"),-1,1)</f>
        <v>0</v>
      </c>
      <c r="AY254" s="487" t="s">
        <v>337</v>
      </c>
      <c r="AZ254" s="487">
        <f>+VLOOKUP($AJ254,Data_Validation!$A:$E,5,0)</f>
        <v>0</v>
      </c>
    </row>
    <row r="255" spans="1:52" ht="15" customHeight="1">
      <c r="A255" s="706" t="s">
        <v>1148</v>
      </c>
      <c r="B255" s="706">
        <v>2025</v>
      </c>
      <c r="C255" s="706" t="s">
        <v>1684</v>
      </c>
      <c r="D255" s="706" t="s">
        <v>1685</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G0840</v>
      </c>
      <c r="AK255" s="905" t="str">
        <f t="shared" si="19"/>
        <v>IMPOTS FONCIERS REP.</v>
      </c>
      <c r="AL255" s="905">
        <f>IFERROR(INDEX(G255:R255,1,MATCH(Parametres!$B$3,G$1:R$1,0)-1)*IF(OR(F255="L",F255="S",F255="I"),-1,1),"")</f>
        <v>0</v>
      </c>
      <c r="AM255" s="905">
        <f t="shared" si="20"/>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21"/>
        <v>G0840</v>
      </c>
      <c r="AU255" s="488" t="str">
        <f t="shared" si="22"/>
        <v>IMPOTS FONCIERS REP.</v>
      </c>
      <c r="AV255" s="899">
        <f>IFERROR(INDEX(V255:AG255,1,MATCH(Parametres!$B$3,V$1:AG$1,0)-1)*IF(OR(C255="L",C255="S",C255="I"),-1,1),"")</f>
        <v>0</v>
      </c>
      <c r="AW255" s="899">
        <f t="shared" si="23"/>
        <v>0</v>
      </c>
      <c r="AX255" s="899">
        <f>INDEX(V255:AG255,1,MATCH(Parametres!$B$3,V$1:AG$1,0))*IF(OR(C255="L",C255="S",C255="I"),-1,1)</f>
        <v>0</v>
      </c>
      <c r="AY255" s="487" t="s">
        <v>337</v>
      </c>
      <c r="AZ255" s="487" t="e">
        <f>+VLOOKUP($AJ255,Data_Validation!$A:$E,5,0)</f>
        <v>#N/A</v>
      </c>
    </row>
    <row r="256" spans="1:52" ht="15.75" hidden="1" customHeight="1">
      <c r="A256" s="706" t="s">
        <v>1148</v>
      </c>
      <c r="B256" s="706">
        <v>2025</v>
      </c>
      <c r="C256" s="706" t="s">
        <v>1686</v>
      </c>
      <c r="D256" s="706" t="s">
        <v>1687</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G0841</v>
      </c>
      <c r="AK256" s="905" t="str">
        <f t="shared" si="19"/>
        <v>IMPOT FONCIERS-NEUFS</v>
      </c>
      <c r="AL256" s="905">
        <f>IFERROR(INDEX(G256:R256,1,MATCH(Parametres!$B$3,G$1:R$1,0)-1)*IF(OR(F256="L",F256="S",F256="I"),-1,1),"")</f>
        <v>25194.6</v>
      </c>
      <c r="AM256" s="905">
        <f t="shared" si="20"/>
        <v>3671.4000000000015</v>
      </c>
      <c r="AN256" s="905">
        <f>INDEX(G256:R256,1,MATCH(Parametres!$B$3,G$1:R$1,0))*IF(OR(F256="L",F256="S",F256="I"),-1,1)</f>
        <v>28866</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21"/>
        <v>G0841</v>
      </c>
      <c r="AU256" s="488" t="str">
        <f t="shared" si="22"/>
        <v>IMPOT FONCIERS-NEUFS</v>
      </c>
      <c r="AV256" s="899">
        <f>IFERROR(INDEX(V256:AG256,1,MATCH(Parametres!$B$3,V$1:AG$1,0)-1)*IF(OR(C256="L",C256="S",C256="I"),-1,1),"")</f>
        <v>0</v>
      </c>
      <c r="AW256" s="899">
        <f t="shared" si="23"/>
        <v>0</v>
      </c>
      <c r="AX256" s="899">
        <f>INDEX(V256:AG256,1,MATCH(Parametres!$B$3,V$1:AG$1,0))*IF(OR(C256="L",C256="S",C256="I"),-1,1)</f>
        <v>0</v>
      </c>
      <c r="AY256" s="487" t="s">
        <v>337</v>
      </c>
      <c r="AZ256" s="487">
        <f>+VLOOKUP($AJ256,Data_Validation!$A:$E,5,0)</f>
        <v>0</v>
      </c>
    </row>
    <row r="257" spans="1:52" ht="15" hidden="1" customHeight="1">
      <c r="A257" s="706" t="s">
        <v>1148</v>
      </c>
      <c r="B257" s="706">
        <v>2025</v>
      </c>
      <c r="C257" s="706" t="s">
        <v>1688</v>
      </c>
      <c r="D257" s="706" t="s">
        <v>1689</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G0842</v>
      </c>
      <c r="AK257" s="905" t="str">
        <f t="shared" si="19"/>
        <v>IMPOT FONCIERS-USAGES</v>
      </c>
      <c r="AL257" s="905">
        <f>IFERROR(INDEX(G257:R257,1,MATCH(Parametres!$B$3,G$1:R$1,0)-1)*IF(OR(F257="L",F257="S",F257="I"),-1,1),"")</f>
        <v>16796.400000000001</v>
      </c>
      <c r="AM257" s="905">
        <f t="shared" si="20"/>
        <v>2447.5999999999985</v>
      </c>
      <c r="AN257" s="905">
        <f>INDEX(G257:R257,1,MATCH(Parametres!$B$3,G$1:R$1,0))*IF(OR(F257="L",F257="S",F257="I"),-1,1)</f>
        <v>19244</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21"/>
        <v>G0842</v>
      </c>
      <c r="AU257" s="488" t="str">
        <f t="shared" si="22"/>
        <v>IMPOT FONCIERS-USAGES</v>
      </c>
      <c r="AV257" s="899">
        <f>IFERROR(INDEX(V257:AG257,1,MATCH(Parametres!$B$3,V$1:AG$1,0)-1)*IF(OR(C257="L",C257="S",C257="I"),-1,1),"")</f>
        <v>0</v>
      </c>
      <c r="AW257" s="899">
        <f t="shared" si="23"/>
        <v>0</v>
      </c>
      <c r="AX257" s="899">
        <f>INDEX(V257:AG257,1,MATCH(Parametres!$B$3,V$1:AG$1,0))*IF(OR(C257="L",C257="S",C257="I"),-1,1)</f>
        <v>0</v>
      </c>
      <c r="AY257" s="487" t="s">
        <v>337</v>
      </c>
      <c r="AZ257" s="487">
        <f>+VLOOKUP($AJ257,Data_Validation!$A:$E,5,0)</f>
        <v>0</v>
      </c>
    </row>
    <row r="258" spans="1:52" ht="15" hidden="1" customHeight="1">
      <c r="A258" s="706" t="s">
        <v>1148</v>
      </c>
      <c r="B258" s="706">
        <v>2025</v>
      </c>
      <c r="C258" s="706" t="s">
        <v>1690</v>
      </c>
      <c r="D258" s="706" t="s">
        <v>1691</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G0844</v>
      </c>
      <c r="AK258" s="905" t="str">
        <f t="shared" si="19"/>
        <v>IMPOT FONCIERS-SERVICE</v>
      </c>
      <c r="AL258" s="905">
        <f>IFERROR(INDEX(G258:R258,1,MATCH(Parametres!$B$3,G$1:R$1,0)-1)*IF(OR(F258="L",F258="S",F258="I"),-1,1),"")</f>
        <v>25194.6</v>
      </c>
      <c r="AM258" s="905">
        <f t="shared" si="20"/>
        <v>3671.4000000000015</v>
      </c>
      <c r="AN258" s="905">
        <f>INDEX(G258:R258,1,MATCH(Parametres!$B$3,G$1:R$1,0))*IF(OR(F258="L",F258="S",F258="I"),-1,1)</f>
        <v>28866</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21"/>
        <v>G0844</v>
      </c>
      <c r="AU258" s="488" t="str">
        <f t="shared" si="22"/>
        <v>IMPOT FONCIERS-SERVICE</v>
      </c>
      <c r="AV258" s="899">
        <f>IFERROR(INDEX(V258:AG258,1,MATCH(Parametres!$B$3,V$1:AG$1,0)-1)*IF(OR(C258="L",C258="S",C258="I"),-1,1),"")</f>
        <v>0</v>
      </c>
      <c r="AW258" s="899">
        <f t="shared" si="23"/>
        <v>0</v>
      </c>
      <c r="AX258" s="899">
        <f>INDEX(V258:AG258,1,MATCH(Parametres!$B$3,V$1:AG$1,0))*IF(OR(C258="L",C258="S",C258="I"),-1,1)</f>
        <v>0</v>
      </c>
      <c r="AY258" s="487" t="s">
        <v>337</v>
      </c>
      <c r="AZ258" s="487">
        <f>+VLOOKUP($AJ258,Data_Validation!$A:$E,5,0)</f>
        <v>0</v>
      </c>
    </row>
    <row r="259" spans="1:52" ht="15" hidden="1" customHeight="1">
      <c r="A259" s="706" t="s">
        <v>1148</v>
      </c>
      <c r="B259" s="706">
        <v>2025</v>
      </c>
      <c r="C259" s="706" t="s">
        <v>1692</v>
      </c>
      <c r="D259" s="706" t="s">
        <v>1693</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G0845</v>
      </c>
      <c r="AK259" s="905" t="str">
        <f t="shared" si="19"/>
        <v>IMPOT FONCIERS-CARROSS.</v>
      </c>
      <c r="AL259" s="905">
        <f>IFERROR(INDEX(G259:R259,1,MATCH(Parametres!$B$3,G$1:R$1,0)-1)*IF(OR(F259="L",F259="S",F259="I"),-1,1),"")</f>
        <v>8398.2000000000007</v>
      </c>
      <c r="AM259" s="905">
        <f t="shared" si="20"/>
        <v>1223.7999999999993</v>
      </c>
      <c r="AN259" s="905">
        <f>INDEX(G259:R259,1,MATCH(Parametres!$B$3,G$1:R$1,0))*IF(OR(F259="L",F259="S",F259="I"),-1,1)</f>
        <v>9622</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21"/>
        <v>G0845</v>
      </c>
      <c r="AU259" s="488" t="str">
        <f t="shared" si="22"/>
        <v>IMPOT FONCIERS-CARROSS.</v>
      </c>
      <c r="AV259" s="899">
        <f>IFERROR(INDEX(V259:AG259,1,MATCH(Parametres!$B$3,V$1:AG$1,0)-1)*IF(OR(C259="L",C259="S",C259="I"),-1,1),"")</f>
        <v>0</v>
      </c>
      <c r="AW259" s="899">
        <f t="shared" si="23"/>
        <v>0</v>
      </c>
      <c r="AX259" s="899">
        <f>INDEX(V259:AG259,1,MATCH(Parametres!$B$3,V$1:AG$1,0))*IF(OR(C259="L",C259="S",C259="I"),-1,1)</f>
        <v>0</v>
      </c>
      <c r="AY259" s="487" t="s">
        <v>337</v>
      </c>
      <c r="AZ259" s="487">
        <f>+VLOOKUP($AJ259,Data_Validation!$A:$E,5,0)</f>
        <v>0</v>
      </c>
    </row>
    <row r="260" spans="1:52" ht="15" hidden="1" customHeight="1">
      <c r="A260" s="706" t="s">
        <v>1148</v>
      </c>
      <c r="B260" s="706">
        <v>2025</v>
      </c>
      <c r="C260" s="706" t="s">
        <v>1694</v>
      </c>
      <c r="D260" s="706" t="s">
        <v>1695</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G0846</v>
      </c>
      <c r="AK260" s="905" t="str">
        <f t="shared" ref="AK260:AK323" si="25">D260</f>
        <v>IMPOT FONCIERS-PIECES</v>
      </c>
      <c r="AL260" s="905">
        <f>IFERROR(INDEX(G260:R260,1,MATCH(Parametres!$B$3,G$1:R$1,0)-1)*IF(OR(F260="L",F260="S",F260="I"),-1,1),"")</f>
        <v>8398.2000000000007</v>
      </c>
      <c r="AM260" s="905">
        <f t="shared" ref="AM260:AM323" si="26">AN260-AL260</f>
        <v>1223.7999999999993</v>
      </c>
      <c r="AN260" s="905">
        <f>INDEX(G260:R260,1,MATCH(Parametres!$B$3,G$1:R$1,0))*IF(OR(F260="L",F260="S",F260="I"),-1,1)</f>
        <v>9622</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T323" si="27">C260</f>
        <v>G0846</v>
      </c>
      <c r="AU260" s="488" t="str">
        <f t="shared" ref="AU260:AU323" si="28">D260</f>
        <v>IMPOT FONCIERS-PIECES</v>
      </c>
      <c r="AV260" s="899">
        <f>IFERROR(INDEX(V260:AG260,1,MATCH(Parametres!$B$3,V$1:AG$1,0)-1)*IF(OR(C260="L",C260="S",C260="I"),-1,1),"")</f>
        <v>0</v>
      </c>
      <c r="AW260" s="899">
        <f t="shared" ref="AW260:AW323" si="29">AX260-AV260</f>
        <v>0</v>
      </c>
      <c r="AX260" s="899">
        <f>INDEX(V260:AG260,1,MATCH(Parametres!$B$3,V$1:AG$1,0))*IF(OR(C260="L",C260="S",C260="I"),-1,1)</f>
        <v>0</v>
      </c>
      <c r="AY260" s="487" t="s">
        <v>337</v>
      </c>
      <c r="AZ260" s="487">
        <f>+VLOOKUP($AJ260,Data_Validation!$A:$E,5,0)</f>
        <v>0</v>
      </c>
    </row>
    <row r="261" spans="1:52" ht="15" customHeight="1">
      <c r="A261" s="706" t="s">
        <v>1148</v>
      </c>
      <c r="B261" s="706">
        <v>2025</v>
      </c>
      <c r="C261" s="706" t="s">
        <v>1696</v>
      </c>
      <c r="D261" s="706" t="s">
        <v>1697</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G0850</v>
      </c>
      <c r="AK261" s="905" t="str">
        <f t="shared" si="25"/>
        <v>ASSURANCE BATIMENT REP</v>
      </c>
      <c r="AL261" s="905">
        <f>IFERROR(INDEX(G261:R261,1,MATCH(Parametres!$B$3,G$1:R$1,0)-1)*IF(OR(F261="L",F261="S",F261="I"),-1,1),"")</f>
        <v>0</v>
      </c>
      <c r="AM261" s="905">
        <f t="shared" si="26"/>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G0850</v>
      </c>
      <c r="AU261" s="488" t="str">
        <f t="shared" si="28"/>
        <v>ASSURANCE BATIMENT REP</v>
      </c>
      <c r="AV261" s="899">
        <f>IFERROR(INDEX(V261:AG261,1,MATCH(Parametres!$B$3,V$1:AG$1,0)-1)*IF(OR(C261="L",C261="S",C261="I"),-1,1),"")</f>
        <v>0</v>
      </c>
      <c r="AW261" s="899">
        <f t="shared" si="29"/>
        <v>0</v>
      </c>
      <c r="AX261" s="899">
        <f>INDEX(V261:AG261,1,MATCH(Parametres!$B$3,V$1:AG$1,0))*IF(OR(C261="L",C261="S",C261="I"),-1,1)</f>
        <v>0</v>
      </c>
      <c r="AY261" s="487" t="s">
        <v>337</v>
      </c>
      <c r="AZ261" s="487" t="e">
        <f>+VLOOKUP($AJ261,Data_Validation!$A:$E,5,0)</f>
        <v>#N/A</v>
      </c>
    </row>
    <row r="262" spans="1:52" ht="15.75" hidden="1" customHeight="1">
      <c r="A262" s="706" t="s">
        <v>1148</v>
      </c>
      <c r="B262" s="706">
        <v>2025</v>
      </c>
      <c r="C262" s="706" t="s">
        <v>1698</v>
      </c>
      <c r="D262" s="706" t="s">
        <v>1699</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G0851</v>
      </c>
      <c r="AK262" s="905" t="str">
        <f t="shared" si="25"/>
        <v>ASSURANCE BATISSE-NEUFS</v>
      </c>
      <c r="AL262" s="905">
        <f>IFERROR(INDEX(G262:R262,1,MATCH(Parametres!$B$3,G$1:R$1,0)-1)*IF(OR(F262="L",F262="S",F262="I"),-1,1),"")</f>
        <v>35298.720000000001</v>
      </c>
      <c r="AM262" s="905">
        <f t="shared" si="26"/>
        <v>3922.0800000000017</v>
      </c>
      <c r="AN262" s="905">
        <f>INDEX(G262:R262,1,MATCH(Parametres!$B$3,G$1:R$1,0))*IF(OR(F262="L",F262="S",F262="I"),-1,1)</f>
        <v>39220.800000000003</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27"/>
        <v>G0851</v>
      </c>
      <c r="AU262" s="488" t="str">
        <f t="shared" si="28"/>
        <v>ASSURANCE BATISSE-NEUFS</v>
      </c>
      <c r="AV262" s="899">
        <f>IFERROR(INDEX(V262:AG262,1,MATCH(Parametres!$B$3,V$1:AG$1,0)-1)*IF(OR(C262="L",C262="S",C262="I"),-1,1),"")</f>
        <v>0</v>
      </c>
      <c r="AW262" s="899">
        <f t="shared" si="29"/>
        <v>0</v>
      </c>
      <c r="AX262" s="899">
        <f>INDEX(V262:AG262,1,MATCH(Parametres!$B$3,V$1:AG$1,0))*IF(OR(C262="L",C262="S",C262="I"),-1,1)</f>
        <v>0</v>
      </c>
      <c r="AY262" s="487" t="s">
        <v>337</v>
      </c>
      <c r="AZ262" s="487">
        <f>+VLOOKUP($AJ262,Data_Validation!$A:$E,5,0)</f>
        <v>0</v>
      </c>
    </row>
    <row r="263" spans="1:52" ht="15" hidden="1" customHeight="1">
      <c r="A263" s="706" t="s">
        <v>1148</v>
      </c>
      <c r="B263" s="706">
        <v>2025</v>
      </c>
      <c r="C263" s="706" t="s">
        <v>1700</v>
      </c>
      <c r="D263" s="706" t="s">
        <v>1701</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G0852</v>
      </c>
      <c r="AK263" s="905" t="str">
        <f t="shared" si="25"/>
        <v>ASSURANCE BATISSE-USAGES</v>
      </c>
      <c r="AL263" s="905">
        <f>IFERROR(INDEX(G263:R263,1,MATCH(Parametres!$B$3,G$1:R$1,0)-1)*IF(OR(F263="L",F263="S",F263="I"),-1,1),"")</f>
        <v>23532.48</v>
      </c>
      <c r="AM263" s="905">
        <f t="shared" si="26"/>
        <v>2614.7200000000012</v>
      </c>
      <c r="AN263" s="905">
        <f>INDEX(G263:R263,1,MATCH(Parametres!$B$3,G$1:R$1,0))*IF(OR(F263="L",F263="S",F263="I"),-1,1)</f>
        <v>26147.200000000001</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27"/>
        <v>G0852</v>
      </c>
      <c r="AU263" s="488" t="str">
        <f t="shared" si="28"/>
        <v>ASSURANCE BATISSE-USAGES</v>
      </c>
      <c r="AV263" s="899">
        <f>IFERROR(INDEX(V263:AG263,1,MATCH(Parametres!$B$3,V$1:AG$1,0)-1)*IF(OR(C263="L",C263="S",C263="I"),-1,1),"")</f>
        <v>0</v>
      </c>
      <c r="AW263" s="899">
        <f t="shared" si="29"/>
        <v>0</v>
      </c>
      <c r="AX263" s="899">
        <f>INDEX(V263:AG263,1,MATCH(Parametres!$B$3,V$1:AG$1,0))*IF(OR(C263="L",C263="S",C263="I"),-1,1)</f>
        <v>0</v>
      </c>
      <c r="AY263" s="487" t="s">
        <v>337</v>
      </c>
      <c r="AZ263" s="487">
        <f>+VLOOKUP($AJ263,Data_Validation!$A:$E,5,0)</f>
        <v>0</v>
      </c>
    </row>
    <row r="264" spans="1:52" ht="15" hidden="1" customHeight="1">
      <c r="A264" s="706" t="s">
        <v>1148</v>
      </c>
      <c r="B264" s="706">
        <v>2025</v>
      </c>
      <c r="C264" s="706" t="s">
        <v>1702</v>
      </c>
      <c r="D264" s="706" t="s">
        <v>1703</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G0854</v>
      </c>
      <c r="AK264" s="905" t="str">
        <f t="shared" si="25"/>
        <v>ASSURANCE BATISSE-SERVICE</v>
      </c>
      <c r="AL264" s="905">
        <f>IFERROR(INDEX(G264:R264,1,MATCH(Parametres!$B$3,G$1:R$1,0)-1)*IF(OR(F264="L",F264="S",F264="I"),-1,1),"")</f>
        <v>35298.720000000001</v>
      </c>
      <c r="AM264" s="905">
        <f t="shared" si="26"/>
        <v>3922.0800000000017</v>
      </c>
      <c r="AN264" s="905">
        <f>INDEX(G264:R264,1,MATCH(Parametres!$B$3,G$1:R$1,0))*IF(OR(F264="L",F264="S",F264="I"),-1,1)</f>
        <v>39220.800000000003</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27"/>
        <v>G0854</v>
      </c>
      <c r="AU264" s="488" t="str">
        <f t="shared" si="28"/>
        <v>ASSURANCE BATISSE-SERVICE</v>
      </c>
      <c r="AV264" s="899">
        <f>IFERROR(INDEX(V264:AG264,1,MATCH(Parametres!$B$3,V$1:AG$1,0)-1)*IF(OR(C264="L",C264="S",C264="I"),-1,1),"")</f>
        <v>0</v>
      </c>
      <c r="AW264" s="899">
        <f t="shared" si="29"/>
        <v>0</v>
      </c>
      <c r="AX264" s="899">
        <f>INDEX(V264:AG264,1,MATCH(Parametres!$B$3,V$1:AG$1,0))*IF(OR(C264="L",C264="S",C264="I"),-1,1)</f>
        <v>0</v>
      </c>
      <c r="AY264" s="487" t="s">
        <v>337</v>
      </c>
      <c r="AZ264" s="487">
        <f>+VLOOKUP($AJ264,Data_Validation!$A:$E,5,0)</f>
        <v>0</v>
      </c>
    </row>
    <row r="265" spans="1:52" ht="15" hidden="1" customHeight="1">
      <c r="A265" s="706" t="s">
        <v>1148</v>
      </c>
      <c r="B265" s="706">
        <v>2025</v>
      </c>
      <c r="C265" s="706" t="s">
        <v>1704</v>
      </c>
      <c r="D265" s="706" t="s">
        <v>1705</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G0855</v>
      </c>
      <c r="AK265" s="905" t="str">
        <f t="shared" si="25"/>
        <v>ASSURANCE BATISSE-CARROS</v>
      </c>
      <c r="AL265" s="905">
        <f>IFERROR(INDEX(G265:R265,1,MATCH(Parametres!$B$3,G$1:R$1,0)-1)*IF(OR(F265="L",F265="S",F265="I"),-1,1),"")</f>
        <v>11766.24</v>
      </c>
      <c r="AM265" s="905">
        <f t="shared" si="26"/>
        <v>1307.3600000000006</v>
      </c>
      <c r="AN265" s="905">
        <f>INDEX(G265:R265,1,MATCH(Parametres!$B$3,G$1:R$1,0))*IF(OR(F265="L",F265="S",F265="I"),-1,1)</f>
        <v>13073.6</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27"/>
        <v>G0855</v>
      </c>
      <c r="AU265" s="488" t="str">
        <f t="shared" si="28"/>
        <v>ASSURANCE BATISSE-CARROS</v>
      </c>
      <c r="AV265" s="899">
        <f>IFERROR(INDEX(V265:AG265,1,MATCH(Parametres!$B$3,V$1:AG$1,0)-1)*IF(OR(C265="L",C265="S",C265="I"),-1,1),"")</f>
        <v>0</v>
      </c>
      <c r="AW265" s="899">
        <f t="shared" si="29"/>
        <v>0</v>
      </c>
      <c r="AX265" s="899">
        <f>INDEX(V265:AG265,1,MATCH(Parametres!$B$3,V$1:AG$1,0))*IF(OR(C265="L",C265="S",C265="I"),-1,1)</f>
        <v>0</v>
      </c>
      <c r="AY265" s="487" t="s">
        <v>337</v>
      </c>
      <c r="AZ265" s="487">
        <f>+VLOOKUP($AJ265,Data_Validation!$A:$E,5,0)</f>
        <v>0</v>
      </c>
    </row>
    <row r="266" spans="1:52" ht="15" hidden="1" customHeight="1">
      <c r="A266" s="706" t="s">
        <v>1148</v>
      </c>
      <c r="B266" s="706">
        <v>2025</v>
      </c>
      <c r="C266" s="706" t="s">
        <v>1706</v>
      </c>
      <c r="D266" s="706" t="s">
        <v>1707</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G0856</v>
      </c>
      <c r="AK266" s="905" t="str">
        <f t="shared" si="25"/>
        <v>ASSURANCE BATISSE-PIECES</v>
      </c>
      <c r="AL266" s="905">
        <f>IFERROR(INDEX(G266:R266,1,MATCH(Parametres!$B$3,G$1:R$1,0)-1)*IF(OR(F266="L",F266="S",F266="I"),-1,1),"")</f>
        <v>11766.33</v>
      </c>
      <c r="AM266" s="905">
        <f t="shared" si="26"/>
        <v>1307.3700000000008</v>
      </c>
      <c r="AN266" s="905">
        <f>INDEX(G266:R266,1,MATCH(Parametres!$B$3,G$1:R$1,0))*IF(OR(F266="L",F266="S",F266="I"),-1,1)</f>
        <v>13073.7</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27"/>
        <v>G0856</v>
      </c>
      <c r="AU266" s="488" t="str">
        <f t="shared" si="28"/>
        <v>ASSURANCE BATISSE-PIECES</v>
      </c>
      <c r="AV266" s="899">
        <f>IFERROR(INDEX(V266:AG266,1,MATCH(Parametres!$B$3,V$1:AG$1,0)-1)*IF(OR(C266="L",C266="S",C266="I"),-1,1),"")</f>
        <v>0</v>
      </c>
      <c r="AW266" s="899">
        <f t="shared" si="29"/>
        <v>0</v>
      </c>
      <c r="AX266" s="899">
        <f>INDEX(V266:AG266,1,MATCH(Parametres!$B$3,V$1:AG$1,0))*IF(OR(C266="L",C266="S",C266="I"),-1,1)</f>
        <v>0</v>
      </c>
      <c r="AY266" s="487" t="s">
        <v>337</v>
      </c>
      <c r="AZ266" s="487">
        <f>+VLOOKUP($AJ266,Data_Validation!$A:$E,5,0)</f>
        <v>0</v>
      </c>
    </row>
    <row r="267" spans="1:52" ht="15" customHeight="1">
      <c r="A267" s="706" t="s">
        <v>1148</v>
      </c>
      <c r="B267" s="706">
        <v>2025</v>
      </c>
      <c r="C267" s="706" t="s">
        <v>1708</v>
      </c>
      <c r="D267" s="706" t="s">
        <v>1709</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G0870</v>
      </c>
      <c r="AK267" s="905" t="str">
        <f t="shared" si="25"/>
        <v>ELECTRICITE/GAZ REP</v>
      </c>
      <c r="AL267" s="905">
        <f>IFERROR(INDEX(G267:R267,1,MATCH(Parametres!$B$3,G$1:R$1,0)-1)*IF(OR(F267="L",F267="S",F267="I"),-1,1),"")</f>
        <v>0</v>
      </c>
      <c r="AM267" s="905">
        <f t="shared" si="26"/>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27"/>
        <v>G0870</v>
      </c>
      <c r="AU267" s="488" t="str">
        <f t="shared" si="28"/>
        <v>ELECTRICITE/GAZ REP</v>
      </c>
      <c r="AV267" s="899">
        <f>IFERROR(INDEX(V267:AG267,1,MATCH(Parametres!$B$3,V$1:AG$1,0)-1)*IF(OR(C267="L",C267="S",C267="I"),-1,1),"")</f>
        <v>0</v>
      </c>
      <c r="AW267" s="899">
        <f t="shared" si="29"/>
        <v>0</v>
      </c>
      <c r="AX267" s="899">
        <f>INDEX(V267:AG267,1,MATCH(Parametres!$B$3,V$1:AG$1,0))*IF(OR(C267="L",C267="S",C267="I"),-1,1)</f>
        <v>0</v>
      </c>
      <c r="AY267" s="487" t="s">
        <v>337</v>
      </c>
      <c r="AZ267" s="487" t="e">
        <f>+VLOOKUP($AJ267,Data_Validation!$A:$E,5,0)</f>
        <v>#N/A</v>
      </c>
    </row>
    <row r="268" spans="1:52" ht="15" hidden="1" customHeight="1">
      <c r="A268" s="706" t="s">
        <v>1148</v>
      </c>
      <c r="B268" s="706">
        <v>2025</v>
      </c>
      <c r="C268" s="706" t="s">
        <v>1710</v>
      </c>
      <c r="D268" s="706" t="s">
        <v>1711</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G0871</v>
      </c>
      <c r="AK268" s="905" t="str">
        <f t="shared" si="25"/>
        <v>ELECTRICITE,GAZ-NEUFS</v>
      </c>
      <c r="AL268" s="905">
        <f>IFERROR(INDEX(G268:R268,1,MATCH(Parametres!$B$3,G$1:R$1,0)-1)*IF(OR(F268="L",F268="S",F268="I"),-1,1),"")</f>
        <v>19683.419999999998</v>
      </c>
      <c r="AM268" s="905">
        <f t="shared" si="26"/>
        <v>2782.5500000000029</v>
      </c>
      <c r="AN268" s="905">
        <f>INDEX(G268:R268,1,MATCH(Parametres!$B$3,G$1:R$1,0))*IF(OR(F268="L",F268="S",F268="I"),-1,1)</f>
        <v>22465.97</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27"/>
        <v>G0871</v>
      </c>
      <c r="AU268" s="488" t="str">
        <f t="shared" si="28"/>
        <v>ELECTRICITE,GAZ-NEUFS</v>
      </c>
      <c r="AV268" s="899">
        <f>IFERROR(INDEX(V268:AG268,1,MATCH(Parametres!$B$3,V$1:AG$1,0)-1)*IF(OR(C268="L",C268="S",C268="I"),-1,1),"")</f>
        <v>0</v>
      </c>
      <c r="AW268" s="899">
        <f t="shared" si="29"/>
        <v>0</v>
      </c>
      <c r="AX268" s="899">
        <f>INDEX(V268:AG268,1,MATCH(Parametres!$B$3,V$1:AG$1,0))*IF(OR(C268="L",C268="S",C268="I"),-1,1)</f>
        <v>0</v>
      </c>
      <c r="AY268" s="487" t="s">
        <v>337</v>
      </c>
      <c r="AZ268" s="487">
        <f>+VLOOKUP($AJ268,Data_Validation!$A:$E,5,0)</f>
        <v>0</v>
      </c>
    </row>
    <row r="269" spans="1:52" ht="15" hidden="1" customHeight="1">
      <c r="A269" s="706" t="s">
        <v>1148</v>
      </c>
      <c r="B269" s="706">
        <v>2025</v>
      </c>
      <c r="C269" s="706" t="s">
        <v>1712</v>
      </c>
      <c r="D269" s="706" t="s">
        <v>1713</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G0872</v>
      </c>
      <c r="AK269" s="905" t="str">
        <f t="shared" si="25"/>
        <v>ELECTRICITE,GAZ-USAGES</v>
      </c>
      <c r="AL269" s="905">
        <f>IFERROR(INDEX(G269:R269,1,MATCH(Parametres!$B$3,G$1:R$1,0)-1)*IF(OR(F269="L",F269="S",F269="I"),-1,1),"")</f>
        <v>7110.68</v>
      </c>
      <c r="AM269" s="905">
        <f t="shared" si="26"/>
        <v>1162.8500000000004</v>
      </c>
      <c r="AN269" s="905">
        <f>INDEX(G269:R269,1,MATCH(Parametres!$B$3,G$1:R$1,0))*IF(OR(F269="L",F269="S",F269="I"),-1,1)</f>
        <v>8273.5300000000007</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27"/>
        <v>G0872</v>
      </c>
      <c r="AU269" s="488" t="str">
        <f t="shared" si="28"/>
        <v>ELECTRICITE,GAZ-USAGES</v>
      </c>
      <c r="AV269" s="899">
        <f>IFERROR(INDEX(V269:AG269,1,MATCH(Parametres!$B$3,V$1:AG$1,0)-1)*IF(OR(C269="L",C269="S",C269="I"),-1,1),"")</f>
        <v>0</v>
      </c>
      <c r="AW269" s="899">
        <f t="shared" si="29"/>
        <v>0</v>
      </c>
      <c r="AX269" s="899">
        <f>INDEX(V269:AG269,1,MATCH(Parametres!$B$3,V$1:AG$1,0))*IF(OR(C269="L",C269="S",C269="I"),-1,1)</f>
        <v>0</v>
      </c>
      <c r="AY269" s="487" t="s">
        <v>337</v>
      </c>
      <c r="AZ269" s="487">
        <f>+VLOOKUP($AJ269,Data_Validation!$A:$E,5,0)</f>
        <v>0</v>
      </c>
    </row>
    <row r="270" spans="1:52" ht="15" hidden="1" customHeight="1">
      <c r="A270" s="706" t="s">
        <v>1148</v>
      </c>
      <c r="B270" s="706">
        <v>2025</v>
      </c>
      <c r="C270" s="706" t="s">
        <v>1714</v>
      </c>
      <c r="D270" s="706" t="s">
        <v>1715</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G0874</v>
      </c>
      <c r="AK270" s="905" t="str">
        <f t="shared" si="25"/>
        <v>ELECTRICITE,GAZ-SERVICE</v>
      </c>
      <c r="AL270" s="905">
        <f>IFERROR(INDEX(G270:R270,1,MATCH(Parametres!$B$3,G$1:R$1,0)-1)*IF(OR(F270="L",F270="S",F270="I"),-1,1),"")</f>
        <v>23762.89</v>
      </c>
      <c r="AM270" s="905">
        <f t="shared" si="26"/>
        <v>3029.5200000000004</v>
      </c>
      <c r="AN270" s="905">
        <f>INDEX(G270:R270,1,MATCH(Parametres!$B$3,G$1:R$1,0))*IF(OR(F270="L",F270="S",F270="I"),-1,1)</f>
        <v>26792.41</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27"/>
        <v>G0874</v>
      </c>
      <c r="AU270" s="488" t="str">
        <f t="shared" si="28"/>
        <v>ELECTRICITE,GAZ-SERVICE</v>
      </c>
      <c r="AV270" s="899">
        <f>IFERROR(INDEX(V270:AG270,1,MATCH(Parametres!$B$3,V$1:AG$1,0)-1)*IF(OR(C270="L",C270="S",C270="I"),-1,1),"")</f>
        <v>0</v>
      </c>
      <c r="AW270" s="899">
        <f t="shared" si="29"/>
        <v>0</v>
      </c>
      <c r="AX270" s="899">
        <f>INDEX(V270:AG270,1,MATCH(Parametres!$B$3,V$1:AG$1,0))*IF(OR(C270="L",C270="S",C270="I"),-1,1)</f>
        <v>0</v>
      </c>
      <c r="AY270" s="487" t="s">
        <v>337</v>
      </c>
      <c r="AZ270" s="487">
        <f>+VLOOKUP($AJ270,Data_Validation!$A:$E,5,0)</f>
        <v>0</v>
      </c>
    </row>
    <row r="271" spans="1:52" ht="15" hidden="1" customHeight="1">
      <c r="A271" s="706" t="s">
        <v>1148</v>
      </c>
      <c r="B271" s="706">
        <v>2025</v>
      </c>
      <c r="C271" s="706" t="s">
        <v>1716</v>
      </c>
      <c r="D271" s="706" t="s">
        <v>1717</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G0875</v>
      </c>
      <c r="AK271" s="905" t="str">
        <f t="shared" si="25"/>
        <v>ELECTRICITE,GAZ-CARROSS.</v>
      </c>
      <c r="AL271" s="905">
        <f>IFERROR(INDEX(G271:R271,1,MATCH(Parametres!$B$3,G$1:R$1,0)-1)*IF(OR(F271="L",F271="S",F271="I"),-1,1),"")</f>
        <v>18641.91</v>
      </c>
      <c r="AM271" s="905">
        <f t="shared" si="26"/>
        <v>2250.869999999999</v>
      </c>
      <c r="AN271" s="905">
        <f>INDEX(G271:R271,1,MATCH(Parametres!$B$3,G$1:R$1,0))*IF(OR(F271="L",F271="S",F271="I"),-1,1)</f>
        <v>20892.78</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27"/>
        <v>G0875</v>
      </c>
      <c r="AU271" s="488" t="str">
        <f t="shared" si="28"/>
        <v>ELECTRICITE,GAZ-CARROSS.</v>
      </c>
      <c r="AV271" s="899">
        <f>IFERROR(INDEX(V271:AG271,1,MATCH(Parametres!$B$3,V$1:AG$1,0)-1)*IF(OR(C271="L",C271="S",C271="I"),-1,1),"")</f>
        <v>0</v>
      </c>
      <c r="AW271" s="899">
        <f t="shared" si="29"/>
        <v>0</v>
      </c>
      <c r="AX271" s="899">
        <f>INDEX(V271:AG271,1,MATCH(Parametres!$B$3,V$1:AG$1,0))*IF(OR(C271="L",C271="S",C271="I"),-1,1)</f>
        <v>0</v>
      </c>
      <c r="AY271" s="487" t="s">
        <v>337</v>
      </c>
      <c r="AZ271" s="487">
        <f>+VLOOKUP($AJ271,Data_Validation!$A:$E,5,0)</f>
        <v>0</v>
      </c>
    </row>
    <row r="272" spans="1:52" ht="15.75" hidden="1" customHeight="1">
      <c r="A272" s="706" t="s">
        <v>1148</v>
      </c>
      <c r="B272" s="706">
        <v>2025</v>
      </c>
      <c r="C272" s="706" t="s">
        <v>1718</v>
      </c>
      <c r="D272" s="706" t="s">
        <v>1719</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G0876</v>
      </c>
      <c r="AK272" s="905" t="str">
        <f t="shared" si="25"/>
        <v>ELECTRICITE,GAZ-PIECES</v>
      </c>
      <c r="AL272" s="905">
        <f>IFERROR(INDEX(G272:R272,1,MATCH(Parametres!$B$3,G$1:R$1,0)-1)*IF(OR(F272="L",F272="S",F272="I"),-1,1),"")</f>
        <v>10828.27</v>
      </c>
      <c r="AM272" s="905">
        <f t="shared" si="26"/>
        <v>1390.9899999999998</v>
      </c>
      <c r="AN272" s="905">
        <f>INDEX(G272:R272,1,MATCH(Parametres!$B$3,G$1:R$1,0))*IF(OR(F272="L",F272="S",F272="I"),-1,1)</f>
        <v>12219.26</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27"/>
        <v>G0876</v>
      </c>
      <c r="AU272" s="488" t="str">
        <f t="shared" si="28"/>
        <v>ELECTRICITE,GAZ-PIECES</v>
      </c>
      <c r="AV272" s="899">
        <f>IFERROR(INDEX(V272:AG272,1,MATCH(Parametres!$B$3,V$1:AG$1,0)-1)*IF(OR(C272="L",C272="S",C272="I"),-1,1),"")</f>
        <v>0</v>
      </c>
      <c r="AW272" s="899">
        <f t="shared" si="29"/>
        <v>0</v>
      </c>
      <c r="AX272" s="899">
        <f>INDEX(V272:AG272,1,MATCH(Parametres!$B$3,V$1:AG$1,0))*IF(OR(C272="L",C272="S",C272="I"),-1,1)</f>
        <v>0</v>
      </c>
      <c r="AY272" s="487" t="s">
        <v>337</v>
      </c>
      <c r="AZ272" s="487">
        <f>+VLOOKUP($AJ272,Data_Validation!$A:$E,5,0)</f>
        <v>0</v>
      </c>
    </row>
    <row r="273" spans="1:52" ht="15" customHeight="1">
      <c r="A273" s="706" t="s">
        <v>1148</v>
      </c>
      <c r="B273" s="706">
        <v>2025</v>
      </c>
      <c r="C273" s="706" t="s">
        <v>1720</v>
      </c>
      <c r="D273" s="706" t="s">
        <v>1721</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G0880</v>
      </c>
      <c r="AK273" s="905" t="str">
        <f t="shared" si="25"/>
        <v>ASSURANCES DIVERSES REP</v>
      </c>
      <c r="AL273" s="905">
        <f>IFERROR(INDEX(G273:R273,1,MATCH(Parametres!$B$3,G$1:R$1,0)-1)*IF(OR(F273="L",F273="S",F273="I"),-1,1),"")</f>
        <v>0</v>
      </c>
      <c r="AM273" s="905">
        <f t="shared" si="26"/>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27"/>
        <v>G0880</v>
      </c>
      <c r="AU273" s="488" t="str">
        <f t="shared" si="28"/>
        <v>ASSURANCES DIVERSES REP</v>
      </c>
      <c r="AV273" s="899">
        <f>IFERROR(INDEX(V273:AG273,1,MATCH(Parametres!$B$3,V$1:AG$1,0)-1)*IF(OR(C273="L",C273="S",C273="I"),-1,1),"")</f>
        <v>0</v>
      </c>
      <c r="AW273" s="899">
        <f t="shared" si="29"/>
        <v>0</v>
      </c>
      <c r="AX273" s="899">
        <f>INDEX(V273:AG273,1,MATCH(Parametres!$B$3,V$1:AG$1,0))*IF(OR(C273="L",C273="S",C273="I"),-1,1)</f>
        <v>0</v>
      </c>
      <c r="AY273" s="487" t="s">
        <v>337</v>
      </c>
      <c r="AZ273" s="487" t="e">
        <f>+VLOOKUP($AJ273,Data_Validation!$A:$E,5,0)</f>
        <v>#N/A</v>
      </c>
    </row>
    <row r="274" spans="1:52" ht="15" customHeight="1">
      <c r="A274" s="706" t="s">
        <v>1148</v>
      </c>
      <c r="B274" s="706">
        <v>2025</v>
      </c>
      <c r="C274" s="706" t="s">
        <v>1722</v>
      </c>
      <c r="D274" s="706" t="s">
        <v>1723</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G0881</v>
      </c>
      <c r="AK274" s="905" t="str">
        <f t="shared" si="25"/>
        <v>ASSURANCES DIVERSES-NEUFS</v>
      </c>
      <c r="AL274" s="905">
        <f>IFERROR(INDEX(G274:R274,1,MATCH(Parametres!$B$3,G$1:R$1,0)-1)*IF(OR(F274="L",F274="S",F274="I"),-1,1),"")</f>
        <v>0</v>
      </c>
      <c r="AM274" s="905">
        <f t="shared" si="26"/>
        <v>0</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27"/>
        <v>G0881</v>
      </c>
      <c r="AU274" s="488" t="str">
        <f t="shared" si="28"/>
        <v>ASSURANCES DIVERSES-NEUFS</v>
      </c>
      <c r="AV274" s="899">
        <f>IFERROR(INDEX(V274:AG274,1,MATCH(Parametres!$B$3,V$1:AG$1,0)-1)*IF(OR(C274="L",C274="S",C274="I"),-1,1),"")</f>
        <v>0</v>
      </c>
      <c r="AW274" s="899">
        <f t="shared" si="29"/>
        <v>0</v>
      </c>
      <c r="AX274" s="899">
        <f>INDEX(V274:AG274,1,MATCH(Parametres!$B$3,V$1:AG$1,0))*IF(OR(C274="L",C274="S",C274="I"),-1,1)</f>
        <v>0</v>
      </c>
      <c r="AY274" s="487" t="s">
        <v>337</v>
      </c>
      <c r="AZ274" s="487">
        <f>+VLOOKUP($AJ274,Data_Validation!$A:$E,5,0)</f>
        <v>0</v>
      </c>
    </row>
    <row r="275" spans="1:52" ht="15" customHeight="1">
      <c r="A275" s="706" t="s">
        <v>1148</v>
      </c>
      <c r="B275" s="706">
        <v>2025</v>
      </c>
      <c r="C275" s="706" t="s">
        <v>1724</v>
      </c>
      <c r="D275" s="706" t="s">
        <v>1725</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G0882</v>
      </c>
      <c r="AK275" s="905" t="str">
        <f t="shared" si="25"/>
        <v>ASSURANCES DIVERSES-USAGE</v>
      </c>
      <c r="AL275" s="905">
        <f>IFERROR(INDEX(G275:R275,1,MATCH(Parametres!$B$3,G$1:R$1,0)-1)*IF(OR(F275="L",F275="S",F275="I"),-1,1),"")</f>
        <v>0</v>
      </c>
      <c r="AM275" s="905">
        <f t="shared" si="26"/>
        <v>0</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27"/>
        <v>G0882</v>
      </c>
      <c r="AU275" s="488" t="str">
        <f t="shared" si="28"/>
        <v>ASSURANCES DIVERSES-USAGE</v>
      </c>
      <c r="AV275" s="899">
        <f>IFERROR(INDEX(V275:AG275,1,MATCH(Parametres!$B$3,V$1:AG$1,0)-1)*IF(OR(C275="L",C275="S",C275="I"),-1,1),"")</f>
        <v>0</v>
      </c>
      <c r="AW275" s="899">
        <f t="shared" si="29"/>
        <v>0</v>
      </c>
      <c r="AX275" s="899">
        <f>INDEX(V275:AG275,1,MATCH(Parametres!$B$3,V$1:AG$1,0))*IF(OR(C275="L",C275="S",C275="I"),-1,1)</f>
        <v>0</v>
      </c>
      <c r="AY275" s="487" t="s">
        <v>337</v>
      </c>
      <c r="AZ275" s="487">
        <f>+VLOOKUP($AJ275,Data_Validation!$A:$E,5,0)</f>
        <v>0</v>
      </c>
    </row>
    <row r="276" spans="1:52" ht="15" customHeight="1">
      <c r="A276" s="706" t="s">
        <v>1148</v>
      </c>
      <c r="B276" s="706">
        <v>2025</v>
      </c>
      <c r="C276" s="706" t="s">
        <v>1726</v>
      </c>
      <c r="D276" s="706" t="s">
        <v>1727</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G0884</v>
      </c>
      <c r="AK276" s="905" t="str">
        <f t="shared" si="25"/>
        <v>ASSURANCES DIVERSES-SERV.</v>
      </c>
      <c r="AL276" s="905">
        <f>IFERROR(INDEX(G276:R276,1,MATCH(Parametres!$B$3,G$1:R$1,0)-1)*IF(OR(F276="L",F276="S",F276="I"),-1,1),"")</f>
        <v>0</v>
      </c>
      <c r="AM276" s="905">
        <f t="shared" si="26"/>
        <v>0</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27"/>
        <v>G0884</v>
      </c>
      <c r="AU276" s="488" t="str">
        <f t="shared" si="28"/>
        <v>ASSURANCES DIVERSES-SERV.</v>
      </c>
      <c r="AV276" s="899">
        <f>IFERROR(INDEX(V276:AG276,1,MATCH(Parametres!$B$3,V$1:AG$1,0)-1)*IF(OR(C276="L",C276="S",C276="I"),-1,1),"")</f>
        <v>0</v>
      </c>
      <c r="AW276" s="899">
        <f t="shared" si="29"/>
        <v>0</v>
      </c>
      <c r="AX276" s="899">
        <f>INDEX(V276:AG276,1,MATCH(Parametres!$B$3,V$1:AG$1,0))*IF(OR(C276="L",C276="S",C276="I"),-1,1)</f>
        <v>0</v>
      </c>
      <c r="AY276" s="487" t="s">
        <v>337</v>
      </c>
      <c r="AZ276" s="487">
        <f>+VLOOKUP($AJ276,Data_Validation!$A:$E,5,0)</f>
        <v>0</v>
      </c>
    </row>
    <row r="277" spans="1:52" ht="15" customHeight="1">
      <c r="A277" s="706" t="s">
        <v>1148</v>
      </c>
      <c r="B277" s="706">
        <v>2025</v>
      </c>
      <c r="C277" s="706" t="s">
        <v>1728</v>
      </c>
      <c r="D277" s="706" t="s">
        <v>1729</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G0885</v>
      </c>
      <c r="AK277" s="905" t="str">
        <f t="shared" si="25"/>
        <v>ASSURANCES DIVERSES-CARR.</v>
      </c>
      <c r="AL277" s="905">
        <f>IFERROR(INDEX(G277:R277,1,MATCH(Parametres!$B$3,G$1:R$1,0)-1)*IF(OR(F277="L",F277="S",F277="I"),-1,1),"")</f>
        <v>0</v>
      </c>
      <c r="AM277" s="905">
        <f t="shared" si="26"/>
        <v>0</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27"/>
        <v>G0885</v>
      </c>
      <c r="AU277" s="488" t="str">
        <f t="shared" si="28"/>
        <v>ASSURANCES DIVERSES-CARR.</v>
      </c>
      <c r="AV277" s="899">
        <f>IFERROR(INDEX(V277:AG277,1,MATCH(Parametres!$B$3,V$1:AG$1,0)-1)*IF(OR(C277="L",C277="S",C277="I"),-1,1),"")</f>
        <v>0</v>
      </c>
      <c r="AW277" s="899">
        <f t="shared" si="29"/>
        <v>0</v>
      </c>
      <c r="AX277" s="899">
        <f>INDEX(V277:AG277,1,MATCH(Parametres!$B$3,V$1:AG$1,0))*IF(OR(C277="L",C277="S",C277="I"),-1,1)</f>
        <v>0</v>
      </c>
      <c r="AY277" s="487" t="s">
        <v>337</v>
      </c>
      <c r="AZ277" s="487">
        <f>+VLOOKUP($AJ277,Data_Validation!$A:$E,5,0)</f>
        <v>0</v>
      </c>
    </row>
    <row r="278" spans="1:52" ht="15" customHeight="1">
      <c r="A278" s="706" t="s">
        <v>1148</v>
      </c>
      <c r="B278" s="706">
        <v>2025</v>
      </c>
      <c r="C278" s="706" t="s">
        <v>1730</v>
      </c>
      <c r="D278" s="706" t="s">
        <v>1731</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G0886</v>
      </c>
      <c r="AK278" s="905" t="str">
        <f t="shared" si="25"/>
        <v>ASSURANCES DIVERSES-PCES</v>
      </c>
      <c r="AL278" s="905">
        <f>IFERROR(INDEX(G278:R278,1,MATCH(Parametres!$B$3,G$1:R$1,0)-1)*IF(OR(F278="L",F278="S",F278="I"),-1,1),"")</f>
        <v>0</v>
      </c>
      <c r="AM278" s="905">
        <f t="shared" si="26"/>
        <v>0</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27"/>
        <v>G0886</v>
      </c>
      <c r="AU278" s="488" t="str">
        <f t="shared" si="28"/>
        <v>ASSURANCES DIVERSES-PCES</v>
      </c>
      <c r="AV278" s="899">
        <f>IFERROR(INDEX(V278:AG278,1,MATCH(Parametres!$B$3,V$1:AG$1,0)-1)*IF(OR(C278="L",C278="S",C278="I"),-1,1),"")</f>
        <v>0</v>
      </c>
      <c r="AW278" s="899">
        <f t="shared" si="29"/>
        <v>0</v>
      </c>
      <c r="AX278" s="899">
        <f>INDEX(V278:AG278,1,MATCH(Parametres!$B$3,V$1:AG$1,0))*IF(OR(C278="L",C278="S",C278="I"),-1,1)</f>
        <v>0</v>
      </c>
      <c r="AY278" s="487" t="s">
        <v>337</v>
      </c>
      <c r="AZ278" s="487">
        <f>+VLOOKUP($AJ278,Data_Validation!$A:$E,5,0)</f>
        <v>0</v>
      </c>
    </row>
    <row r="279" spans="1:52" ht="15.75" customHeight="1">
      <c r="A279" s="706" t="s">
        <v>1148</v>
      </c>
      <c r="B279" s="706">
        <v>2025</v>
      </c>
      <c r="C279" s="706" t="s">
        <v>1732</v>
      </c>
      <c r="D279" s="706" t="s">
        <v>1733</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G0890</v>
      </c>
      <c r="AK279" s="905" t="str">
        <f t="shared" si="25"/>
        <v>TAXES DIVERSES REP</v>
      </c>
      <c r="AL279" s="905">
        <f>IFERROR(INDEX(G279:R279,1,MATCH(Parametres!$B$3,G$1:R$1,0)-1)*IF(OR(F279="L",F279="S",F279="I"),-1,1),"")</f>
        <v>0</v>
      </c>
      <c r="AM279" s="905">
        <f t="shared" si="26"/>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27"/>
        <v>G0890</v>
      </c>
      <c r="AU279" s="488" t="str">
        <f t="shared" si="28"/>
        <v>TAXES DIVERSES REP</v>
      </c>
      <c r="AV279" s="899">
        <f>IFERROR(INDEX(V279:AG279,1,MATCH(Parametres!$B$3,V$1:AG$1,0)-1)*IF(OR(C279="L",C279="S",C279="I"),-1,1),"")</f>
        <v>0</v>
      </c>
      <c r="AW279" s="899">
        <f t="shared" si="29"/>
        <v>0</v>
      </c>
      <c r="AX279" s="899">
        <f>INDEX(V279:AG279,1,MATCH(Parametres!$B$3,V$1:AG$1,0))*IF(OR(C279="L",C279="S",C279="I"),-1,1)</f>
        <v>0</v>
      </c>
      <c r="AY279" s="487" t="s">
        <v>337</v>
      </c>
      <c r="AZ279" s="487" t="e">
        <f>+VLOOKUP($AJ279,Data_Validation!$A:$E,5,0)</f>
        <v>#N/A</v>
      </c>
    </row>
    <row r="280" spans="1:52" ht="15" hidden="1" customHeight="1">
      <c r="A280" s="706" t="s">
        <v>1148</v>
      </c>
      <c r="B280" s="706">
        <v>2025</v>
      </c>
      <c r="C280" s="706" t="s">
        <v>1734</v>
      </c>
      <c r="D280" s="706" t="s">
        <v>1735</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G0891</v>
      </c>
      <c r="AK280" s="905" t="str">
        <f t="shared" si="25"/>
        <v>TAXES DIVERSES-NEUFS</v>
      </c>
      <c r="AL280" s="905">
        <f>IFERROR(INDEX(G280:R280,1,MATCH(Parametres!$B$3,G$1:R$1,0)-1)*IF(OR(F280="L",F280="S",F280="I"),-1,1),"")</f>
        <v>29972.26</v>
      </c>
      <c r="AM280" s="905">
        <f t="shared" si="26"/>
        <v>3000.0000000000036</v>
      </c>
      <c r="AN280" s="905">
        <f>INDEX(G280:R280,1,MATCH(Parametres!$B$3,G$1:R$1,0))*IF(OR(F280="L",F280="S",F280="I"),-1,1)</f>
        <v>32972.26</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27"/>
        <v>G0891</v>
      </c>
      <c r="AU280" s="488" t="str">
        <f t="shared" si="28"/>
        <v>TAXES DIVERSES-NEUFS</v>
      </c>
      <c r="AV280" s="899">
        <f>IFERROR(INDEX(V280:AG280,1,MATCH(Parametres!$B$3,V$1:AG$1,0)-1)*IF(OR(C280="L",C280="S",C280="I"),-1,1),"")</f>
        <v>0</v>
      </c>
      <c r="AW280" s="899">
        <f t="shared" si="29"/>
        <v>0</v>
      </c>
      <c r="AX280" s="899">
        <f>INDEX(V280:AG280,1,MATCH(Parametres!$B$3,V$1:AG$1,0))*IF(OR(C280="L",C280="S",C280="I"),-1,1)</f>
        <v>0</v>
      </c>
      <c r="AY280" s="487" t="s">
        <v>337</v>
      </c>
      <c r="AZ280" s="487">
        <f>+VLOOKUP($AJ280,Data_Validation!$A:$E,5,0)</f>
        <v>0</v>
      </c>
    </row>
    <row r="281" spans="1:52" ht="15" hidden="1" customHeight="1">
      <c r="A281" s="706" t="s">
        <v>1148</v>
      </c>
      <c r="B281" s="706">
        <v>2025</v>
      </c>
      <c r="C281" s="706" t="s">
        <v>1736</v>
      </c>
      <c r="D281" s="706" t="s">
        <v>1737</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G0892</v>
      </c>
      <c r="AK281" s="905" t="str">
        <f t="shared" si="25"/>
        <v>TAXES DIVERSES-USAGES</v>
      </c>
      <c r="AL281" s="905">
        <f>IFERROR(INDEX(G281:R281,1,MATCH(Parametres!$B$3,G$1:R$1,0)-1)*IF(OR(F281="L",F281="S",F281="I"),-1,1),"")</f>
        <v>19981.5</v>
      </c>
      <c r="AM281" s="905">
        <f t="shared" si="26"/>
        <v>2000</v>
      </c>
      <c r="AN281" s="905">
        <f>INDEX(G281:R281,1,MATCH(Parametres!$B$3,G$1:R$1,0))*IF(OR(F281="L",F281="S",F281="I"),-1,1)</f>
        <v>21981.5</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27"/>
        <v>G0892</v>
      </c>
      <c r="AU281" s="488" t="str">
        <f t="shared" si="28"/>
        <v>TAXES DIVERSES-USAGES</v>
      </c>
      <c r="AV281" s="899">
        <f>IFERROR(INDEX(V281:AG281,1,MATCH(Parametres!$B$3,V$1:AG$1,0)-1)*IF(OR(C281="L",C281="S",C281="I"),-1,1),"")</f>
        <v>0</v>
      </c>
      <c r="AW281" s="899">
        <f t="shared" si="29"/>
        <v>0</v>
      </c>
      <c r="AX281" s="899">
        <f>INDEX(V281:AG281,1,MATCH(Parametres!$B$3,V$1:AG$1,0))*IF(OR(C281="L",C281="S",C281="I"),-1,1)</f>
        <v>0</v>
      </c>
      <c r="AY281" s="487" t="s">
        <v>337</v>
      </c>
      <c r="AZ281" s="487">
        <f>+VLOOKUP($AJ281,Data_Validation!$A:$E,5,0)</f>
        <v>0</v>
      </c>
    </row>
    <row r="282" spans="1:52" ht="15" hidden="1" customHeight="1">
      <c r="A282" s="706" t="s">
        <v>1148</v>
      </c>
      <c r="B282" s="706">
        <v>2025</v>
      </c>
      <c r="C282" s="706" t="s">
        <v>1738</v>
      </c>
      <c r="D282" s="706" t="s">
        <v>1739</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G0893</v>
      </c>
      <c r="AK282" s="905" t="str">
        <f t="shared" si="25"/>
        <v>TAXES DIVERSES-LOCAT.</v>
      </c>
      <c r="AL282" s="905">
        <f>IFERROR(INDEX(G282:R282,1,MATCH(Parametres!$B$3,G$1:R$1,0)-1)*IF(OR(F282="L",F282="S",F282="I"),-1,1),"")</f>
        <v>0</v>
      </c>
      <c r="AM282" s="905">
        <f t="shared" si="26"/>
        <v>0</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27"/>
        <v>G0893</v>
      </c>
      <c r="AU282" s="488" t="str">
        <f t="shared" si="28"/>
        <v>TAXES DIVERSES-LOCAT.</v>
      </c>
      <c r="AV282" s="899">
        <f>IFERROR(INDEX(V282:AG282,1,MATCH(Parametres!$B$3,V$1:AG$1,0)-1)*IF(OR(C282="L",C282="S",C282="I"),-1,1),"")</f>
        <v>0</v>
      </c>
      <c r="AW282" s="899">
        <f t="shared" si="29"/>
        <v>0</v>
      </c>
      <c r="AX282" s="899">
        <f>INDEX(V282:AG282,1,MATCH(Parametres!$B$3,V$1:AG$1,0))*IF(OR(C282="L",C282="S",C282="I"),-1,1)</f>
        <v>0</v>
      </c>
      <c r="AY282" s="487" t="s">
        <v>337</v>
      </c>
      <c r="AZ282" s="487">
        <f>+VLOOKUP($AJ282,Data_Validation!$A:$E,5,0)</f>
        <v>0</v>
      </c>
    </row>
    <row r="283" spans="1:52" ht="15.75" hidden="1" customHeight="1">
      <c r="A283" s="706" t="s">
        <v>1148</v>
      </c>
      <c r="B283" s="706">
        <v>2025</v>
      </c>
      <c r="C283" s="706" t="s">
        <v>1740</v>
      </c>
      <c r="D283" s="706" t="s">
        <v>1741</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G0894</v>
      </c>
      <c r="AK283" s="905" t="str">
        <f t="shared" si="25"/>
        <v>TAXES DIVERSES-SERVICE</v>
      </c>
      <c r="AL283" s="905">
        <f>IFERROR(INDEX(G283:R283,1,MATCH(Parametres!$B$3,G$1:R$1,0)-1)*IF(OR(F283="L",F283="S",F283="I"),-1,1),"")</f>
        <v>29972.26</v>
      </c>
      <c r="AM283" s="905">
        <f t="shared" si="26"/>
        <v>3000.0000000000036</v>
      </c>
      <c r="AN283" s="905">
        <f>INDEX(G283:R283,1,MATCH(Parametres!$B$3,G$1:R$1,0))*IF(OR(F283="L",F283="S",F283="I"),-1,1)</f>
        <v>32972.26</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27"/>
        <v>G0894</v>
      </c>
      <c r="AU283" s="488" t="str">
        <f t="shared" si="28"/>
        <v>TAXES DIVERSES-SERVICE</v>
      </c>
      <c r="AV283" s="899">
        <f>IFERROR(INDEX(V283:AG283,1,MATCH(Parametres!$B$3,V$1:AG$1,0)-1)*IF(OR(C283="L",C283="S",C283="I"),-1,1),"")</f>
        <v>0</v>
      </c>
      <c r="AW283" s="899">
        <f t="shared" si="29"/>
        <v>0</v>
      </c>
      <c r="AX283" s="899">
        <f>INDEX(V283:AG283,1,MATCH(Parametres!$B$3,V$1:AG$1,0))*IF(OR(C283="L",C283="S",C283="I"),-1,1)</f>
        <v>0</v>
      </c>
      <c r="AY283" s="487" t="s">
        <v>337</v>
      </c>
      <c r="AZ283" s="487">
        <f>+VLOOKUP($AJ283,Data_Validation!$A:$E,5,0)</f>
        <v>0</v>
      </c>
    </row>
    <row r="284" spans="1:52" ht="15" hidden="1" customHeight="1">
      <c r="A284" s="706" t="s">
        <v>1148</v>
      </c>
      <c r="B284" s="706">
        <v>2025</v>
      </c>
      <c r="C284" s="706" t="s">
        <v>1742</v>
      </c>
      <c r="D284" s="706" t="s">
        <v>1743</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G0895</v>
      </c>
      <c r="AK284" s="905" t="str">
        <f t="shared" si="25"/>
        <v>TAXES DIVERSES-CARROSS.</v>
      </c>
      <c r="AL284" s="905">
        <f>IFERROR(INDEX(G284:R284,1,MATCH(Parametres!$B$3,G$1:R$1,0)-1)*IF(OR(F284="L",F284="S",F284="I"),-1,1),"")</f>
        <v>9990.75</v>
      </c>
      <c r="AM284" s="905">
        <f t="shared" si="26"/>
        <v>1000</v>
      </c>
      <c r="AN284" s="905">
        <f>INDEX(G284:R284,1,MATCH(Parametres!$B$3,G$1:R$1,0))*IF(OR(F284="L",F284="S",F284="I"),-1,1)</f>
        <v>10990.75</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27"/>
        <v>G0895</v>
      </c>
      <c r="AU284" s="488" t="str">
        <f t="shared" si="28"/>
        <v>TAXES DIVERSES-CARROSS.</v>
      </c>
      <c r="AV284" s="899">
        <f>IFERROR(INDEX(V284:AG284,1,MATCH(Parametres!$B$3,V$1:AG$1,0)-1)*IF(OR(C284="L",C284="S",C284="I"),-1,1),"")</f>
        <v>0</v>
      </c>
      <c r="AW284" s="899">
        <f t="shared" si="29"/>
        <v>0</v>
      </c>
      <c r="AX284" s="899">
        <f>INDEX(V284:AG284,1,MATCH(Parametres!$B$3,V$1:AG$1,0))*IF(OR(C284="L",C284="S",C284="I"),-1,1)</f>
        <v>0</v>
      </c>
      <c r="AY284" s="487" t="s">
        <v>337</v>
      </c>
      <c r="AZ284" s="487">
        <f>+VLOOKUP($AJ284,Data_Validation!$A:$E,5,0)</f>
        <v>0</v>
      </c>
    </row>
    <row r="285" spans="1:52" ht="15" hidden="1" customHeight="1">
      <c r="A285" s="706" t="s">
        <v>1148</v>
      </c>
      <c r="B285" s="706">
        <v>2025</v>
      </c>
      <c r="C285" s="706" t="s">
        <v>1744</v>
      </c>
      <c r="D285" s="706" t="s">
        <v>1745</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G0896</v>
      </c>
      <c r="AK285" s="905" t="str">
        <f t="shared" si="25"/>
        <v>TAXES DIVERSES-PIECES</v>
      </c>
      <c r="AL285" s="905">
        <f>IFERROR(INDEX(G285:R285,1,MATCH(Parametres!$B$3,G$1:R$1,0)-1)*IF(OR(F285="L",F285="S",F285="I"),-1,1),"")</f>
        <v>9990.75</v>
      </c>
      <c r="AM285" s="905">
        <f t="shared" si="26"/>
        <v>1000</v>
      </c>
      <c r="AN285" s="905">
        <f>INDEX(G285:R285,1,MATCH(Parametres!$B$3,G$1:R$1,0))*IF(OR(F285="L",F285="S",F285="I"),-1,1)</f>
        <v>10990.75</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27"/>
        <v>G0896</v>
      </c>
      <c r="AU285" s="488" t="str">
        <f t="shared" si="28"/>
        <v>TAXES DIVERSES-PIECES</v>
      </c>
      <c r="AV285" s="899">
        <f>IFERROR(INDEX(V285:AG285,1,MATCH(Parametres!$B$3,V$1:AG$1,0)-1)*IF(OR(C285="L",C285="S",C285="I"),-1,1),"")</f>
        <v>0</v>
      </c>
      <c r="AW285" s="899">
        <f t="shared" si="29"/>
        <v>0</v>
      </c>
      <c r="AX285" s="899">
        <f>INDEX(V285:AG285,1,MATCH(Parametres!$B$3,V$1:AG$1,0))*IF(OR(C285="L",C285="S",C285="I"),-1,1)</f>
        <v>0</v>
      </c>
      <c r="AY285" s="487" t="s">
        <v>337</v>
      </c>
      <c r="AZ285" s="487">
        <f>+VLOOKUP($AJ285,Data_Validation!$A:$E,5,0)</f>
        <v>0</v>
      </c>
    </row>
    <row r="286" spans="1:52" ht="15" customHeight="1">
      <c r="A286" s="706" t="s">
        <v>1148</v>
      </c>
      <c r="B286" s="706">
        <v>2025</v>
      </c>
      <c r="C286" s="706" t="s">
        <v>1746</v>
      </c>
      <c r="D286" s="706" t="s">
        <v>1747</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G0900</v>
      </c>
      <c r="AK286" s="905" t="str">
        <f t="shared" si="25"/>
        <v>ENT &amp; REPAR.EQUIP. REP</v>
      </c>
      <c r="AL286" s="905">
        <f>IFERROR(INDEX(G286:R286,1,MATCH(Parametres!$B$3,G$1:R$1,0)-1)*IF(OR(F286="L",F286="S",F286="I"),-1,1),"")</f>
        <v>0</v>
      </c>
      <c r="AM286" s="905">
        <f t="shared" si="26"/>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27"/>
        <v>G0900</v>
      </c>
      <c r="AU286" s="488" t="str">
        <f t="shared" si="28"/>
        <v>ENT &amp; REPAR.EQUIP. REP</v>
      </c>
      <c r="AV286" s="899">
        <f>IFERROR(INDEX(V286:AG286,1,MATCH(Parametres!$B$3,V$1:AG$1,0)-1)*IF(OR(C286="L",C286="S",C286="I"),-1,1),"")</f>
        <v>0</v>
      </c>
      <c r="AW286" s="899">
        <f t="shared" si="29"/>
        <v>0</v>
      </c>
      <c r="AX286" s="899">
        <f>INDEX(V286:AG286,1,MATCH(Parametres!$B$3,V$1:AG$1,0))*IF(OR(C286="L",C286="S",C286="I"),-1,1)</f>
        <v>0</v>
      </c>
      <c r="AY286" s="487" t="s">
        <v>337</v>
      </c>
      <c r="AZ286" s="487" t="e">
        <f>+VLOOKUP($AJ286,Data_Validation!$A:$E,5,0)</f>
        <v>#N/A</v>
      </c>
    </row>
    <row r="287" spans="1:52" ht="15.75" hidden="1" customHeight="1">
      <c r="A287" s="706" t="s">
        <v>1148</v>
      </c>
      <c r="B287" s="706">
        <v>2025</v>
      </c>
      <c r="C287" s="706" t="s">
        <v>1748</v>
      </c>
      <c r="D287" s="706" t="s">
        <v>1749</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G0901</v>
      </c>
      <c r="AK287" s="905" t="str">
        <f t="shared" si="25"/>
        <v>ENT. REP. EQUIPEMENT-NEUF</v>
      </c>
      <c r="AL287" s="905">
        <f>IFERROR(INDEX(G287:R287,1,MATCH(Parametres!$B$3,G$1:R$1,0)-1)*IF(OR(F287="L",F287="S",F287="I"),-1,1),"")</f>
        <v>1431.53</v>
      </c>
      <c r="AM287" s="905">
        <f t="shared" si="26"/>
        <v>0</v>
      </c>
      <c r="AN287" s="905">
        <f>INDEX(G287:R287,1,MATCH(Parametres!$B$3,G$1:R$1,0))*IF(OR(F287="L",F287="S",F287="I"),-1,1)</f>
        <v>1431.53</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27"/>
        <v>G0901</v>
      </c>
      <c r="AU287" s="488" t="str">
        <f t="shared" si="28"/>
        <v>ENT. REP. EQUIPEMENT-NEUF</v>
      </c>
      <c r="AV287" s="899">
        <f>IFERROR(INDEX(V287:AG287,1,MATCH(Parametres!$B$3,V$1:AG$1,0)-1)*IF(OR(C287="L",C287="S",C287="I"),-1,1),"")</f>
        <v>0</v>
      </c>
      <c r="AW287" s="899">
        <f t="shared" si="29"/>
        <v>0</v>
      </c>
      <c r="AX287" s="899">
        <f>INDEX(V287:AG287,1,MATCH(Parametres!$B$3,V$1:AG$1,0))*IF(OR(C287="L",C287="S",C287="I"),-1,1)</f>
        <v>0</v>
      </c>
      <c r="AY287" s="487" t="s">
        <v>337</v>
      </c>
      <c r="AZ287" s="487">
        <f>+VLOOKUP($AJ287,Data_Validation!$A:$E,5,0)</f>
        <v>0</v>
      </c>
    </row>
    <row r="288" spans="1:52" ht="15" hidden="1" customHeight="1">
      <c r="A288" s="706" t="s">
        <v>1148</v>
      </c>
      <c r="B288" s="706">
        <v>2025</v>
      </c>
      <c r="C288" s="706" t="s">
        <v>1750</v>
      </c>
      <c r="D288" s="706" t="s">
        <v>1751</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G0902</v>
      </c>
      <c r="AK288" s="905" t="str">
        <f t="shared" si="25"/>
        <v>ENT. REP. EQUIPEMENT-USAG</v>
      </c>
      <c r="AL288" s="905">
        <f>IFERROR(INDEX(G288:R288,1,MATCH(Parametres!$B$3,G$1:R$1,0)-1)*IF(OR(F288="L",F288="S",F288="I"),-1,1),"")</f>
        <v>0</v>
      </c>
      <c r="AM288" s="905">
        <f t="shared" si="26"/>
        <v>0</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27"/>
        <v>G0902</v>
      </c>
      <c r="AU288" s="488" t="str">
        <f t="shared" si="28"/>
        <v>ENT. REP. EQUIPEMENT-USAG</v>
      </c>
      <c r="AV288" s="899">
        <f>IFERROR(INDEX(V288:AG288,1,MATCH(Parametres!$B$3,V$1:AG$1,0)-1)*IF(OR(C288="L",C288="S",C288="I"),-1,1),"")</f>
        <v>0</v>
      </c>
      <c r="AW288" s="899">
        <f t="shared" si="29"/>
        <v>0</v>
      </c>
      <c r="AX288" s="899">
        <f>INDEX(V288:AG288,1,MATCH(Parametres!$B$3,V$1:AG$1,0))*IF(OR(C288="L",C288="S",C288="I"),-1,1)</f>
        <v>0</v>
      </c>
      <c r="AY288" s="487" t="s">
        <v>337</v>
      </c>
      <c r="AZ288" s="487">
        <f>+VLOOKUP($AJ288,Data_Validation!$A:$E,5,0)</f>
        <v>0</v>
      </c>
    </row>
    <row r="289" spans="1:52" ht="15" hidden="1" customHeight="1">
      <c r="A289" s="706" t="s">
        <v>1148</v>
      </c>
      <c r="B289" s="706">
        <v>2025</v>
      </c>
      <c r="C289" s="706" t="s">
        <v>1752</v>
      </c>
      <c r="D289" s="706" t="s">
        <v>1753</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G0904</v>
      </c>
      <c r="AK289" s="905" t="str">
        <f t="shared" si="25"/>
        <v>ENT. REP. EQUIPEMENT-SERV</v>
      </c>
      <c r="AL289" s="905">
        <f>IFERROR(INDEX(G289:R289,1,MATCH(Parametres!$B$3,G$1:R$1,0)-1)*IF(OR(F289="L",F289="S",F289="I"),-1,1),"")</f>
        <v>34175.300000000003</v>
      </c>
      <c r="AM289" s="905">
        <f t="shared" si="26"/>
        <v>848.54999999999563</v>
      </c>
      <c r="AN289" s="905">
        <f>INDEX(G289:R289,1,MATCH(Parametres!$B$3,G$1:R$1,0))*IF(OR(F289="L",F289="S",F289="I"),-1,1)</f>
        <v>35023.85</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27"/>
        <v>G0904</v>
      </c>
      <c r="AU289" s="488" t="str">
        <f t="shared" si="28"/>
        <v>ENT. REP. EQUIPEMENT-SERV</v>
      </c>
      <c r="AV289" s="899">
        <f>IFERROR(INDEX(V289:AG289,1,MATCH(Parametres!$B$3,V$1:AG$1,0)-1)*IF(OR(C289="L",C289="S",C289="I"),-1,1),"")</f>
        <v>0</v>
      </c>
      <c r="AW289" s="899">
        <f t="shared" si="29"/>
        <v>0</v>
      </c>
      <c r="AX289" s="899">
        <f>INDEX(V289:AG289,1,MATCH(Parametres!$B$3,V$1:AG$1,0))*IF(OR(C289="L",C289="S",C289="I"),-1,1)</f>
        <v>0</v>
      </c>
      <c r="AY289" s="487" t="s">
        <v>337</v>
      </c>
      <c r="AZ289" s="487">
        <f>+VLOOKUP($AJ289,Data_Validation!$A:$E,5,0)</f>
        <v>0</v>
      </c>
    </row>
    <row r="290" spans="1:52" ht="15" hidden="1" customHeight="1">
      <c r="A290" s="706" t="s">
        <v>1148</v>
      </c>
      <c r="B290" s="706">
        <v>2025</v>
      </c>
      <c r="C290" s="706" t="s">
        <v>1754</v>
      </c>
      <c r="D290" s="706" t="s">
        <v>1755</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G0905</v>
      </c>
      <c r="AK290" s="905" t="str">
        <f t="shared" si="25"/>
        <v>ENT. REP. EQUIPEMENT-CARR</v>
      </c>
      <c r="AL290" s="905">
        <f>IFERROR(INDEX(G290:R290,1,MATCH(Parametres!$B$3,G$1:R$1,0)-1)*IF(OR(F290="L",F290="S",F290="I"),-1,1),"")</f>
        <v>15765.02</v>
      </c>
      <c r="AM290" s="905">
        <f t="shared" si="26"/>
        <v>13257.05</v>
      </c>
      <c r="AN290" s="905">
        <f>INDEX(G290:R290,1,MATCH(Parametres!$B$3,G$1:R$1,0))*IF(OR(F290="L",F290="S",F290="I"),-1,1)</f>
        <v>29022.07</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27"/>
        <v>G0905</v>
      </c>
      <c r="AU290" s="488" t="str">
        <f t="shared" si="28"/>
        <v>ENT. REP. EQUIPEMENT-CARR</v>
      </c>
      <c r="AV290" s="899">
        <f>IFERROR(INDEX(V290:AG290,1,MATCH(Parametres!$B$3,V$1:AG$1,0)-1)*IF(OR(C290="L",C290="S",C290="I"),-1,1),"")</f>
        <v>0</v>
      </c>
      <c r="AW290" s="899">
        <f t="shared" si="29"/>
        <v>0</v>
      </c>
      <c r="AX290" s="899">
        <f>INDEX(V290:AG290,1,MATCH(Parametres!$B$3,V$1:AG$1,0))*IF(OR(C290="L",C290="S",C290="I"),-1,1)</f>
        <v>0</v>
      </c>
      <c r="AY290" s="487" t="s">
        <v>337</v>
      </c>
      <c r="AZ290" s="487">
        <f>+VLOOKUP($AJ290,Data_Validation!$A:$E,5,0)</f>
        <v>0</v>
      </c>
    </row>
    <row r="291" spans="1:52" ht="15.75" hidden="1" customHeight="1">
      <c r="A291" s="706" t="s">
        <v>1148</v>
      </c>
      <c r="B291" s="706">
        <v>2025</v>
      </c>
      <c r="C291" s="706" t="s">
        <v>1756</v>
      </c>
      <c r="D291" s="706" t="s">
        <v>1757</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G0906</v>
      </c>
      <c r="AK291" s="905" t="str">
        <f t="shared" si="25"/>
        <v>ENT. REP. EQUIPEMENT-PCES</v>
      </c>
      <c r="AL291" s="905">
        <f>IFERROR(INDEX(G291:R291,1,MATCH(Parametres!$B$3,G$1:R$1,0)-1)*IF(OR(F291="L",F291="S",F291="I"),-1,1),"")</f>
        <v>1851.16</v>
      </c>
      <c r="AM291" s="905">
        <f t="shared" si="26"/>
        <v>0</v>
      </c>
      <c r="AN291" s="905">
        <f>INDEX(G291:R291,1,MATCH(Parametres!$B$3,G$1:R$1,0))*IF(OR(F291="L",F291="S",F291="I"),-1,1)</f>
        <v>1851.16</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27"/>
        <v>G0906</v>
      </c>
      <c r="AU291" s="488" t="str">
        <f t="shared" si="28"/>
        <v>ENT. REP. EQUIPEMENT-PCES</v>
      </c>
      <c r="AV291" s="899">
        <f>IFERROR(INDEX(V291:AG291,1,MATCH(Parametres!$B$3,V$1:AG$1,0)-1)*IF(OR(C291="L",C291="S",C291="I"),-1,1),"")</f>
        <v>0</v>
      </c>
      <c r="AW291" s="899">
        <f t="shared" si="29"/>
        <v>0</v>
      </c>
      <c r="AX291" s="899">
        <f>INDEX(V291:AG291,1,MATCH(Parametres!$B$3,V$1:AG$1,0))*IF(OR(C291="L",C291="S",C291="I"),-1,1)</f>
        <v>0</v>
      </c>
      <c r="AY291" s="487" t="s">
        <v>337</v>
      </c>
      <c r="AZ291" s="487">
        <f>+VLOOKUP($AJ291,Data_Validation!$A:$E,5,0)</f>
        <v>0</v>
      </c>
    </row>
    <row r="292" spans="1:52" ht="15" customHeight="1">
      <c r="A292" s="706" t="s">
        <v>1148</v>
      </c>
      <c r="B292" s="706">
        <v>2025</v>
      </c>
      <c r="C292" s="706" t="s">
        <v>1758</v>
      </c>
      <c r="D292" s="706" t="s">
        <v>1759</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G0910</v>
      </c>
      <c r="AK292" s="905" t="str">
        <f t="shared" si="25"/>
        <v>AMORT. EQUIPEMENT REP.</v>
      </c>
      <c r="AL292" s="905">
        <f>IFERROR(INDEX(G292:R292,1,MATCH(Parametres!$B$3,G$1:R$1,0)-1)*IF(OR(F292="L",F292="S",F292="I"),-1,1),"")</f>
        <v>0</v>
      </c>
      <c r="AM292" s="905">
        <f t="shared" si="26"/>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27"/>
        <v>G0910</v>
      </c>
      <c r="AU292" s="488" t="str">
        <f t="shared" si="28"/>
        <v>AMORT. EQUIPEMENT REP.</v>
      </c>
      <c r="AV292" s="899">
        <f>IFERROR(INDEX(V292:AG292,1,MATCH(Parametres!$B$3,V$1:AG$1,0)-1)*IF(OR(C292="L",C292="S",C292="I"),-1,1),"")</f>
        <v>0</v>
      </c>
      <c r="AW292" s="899">
        <f t="shared" si="29"/>
        <v>0</v>
      </c>
      <c r="AX292" s="899">
        <f>INDEX(V292:AG292,1,MATCH(Parametres!$B$3,V$1:AG$1,0))*IF(OR(C292="L",C292="S",C292="I"),-1,1)</f>
        <v>0</v>
      </c>
      <c r="AY292" s="487" t="s">
        <v>337</v>
      </c>
      <c r="AZ292" s="487" t="e">
        <f>+VLOOKUP($AJ292,Data_Validation!$A:$E,5,0)</f>
        <v>#N/A</v>
      </c>
    </row>
    <row r="293" spans="1:52" ht="15" hidden="1" customHeight="1">
      <c r="A293" s="706" t="s">
        <v>1148</v>
      </c>
      <c r="B293" s="706">
        <v>2025</v>
      </c>
      <c r="C293" s="706" t="s">
        <v>1760</v>
      </c>
      <c r="D293" s="706" t="s">
        <v>1761</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G0911</v>
      </c>
      <c r="AK293" s="905" t="str">
        <f t="shared" si="25"/>
        <v>AMORT. EQUIPEMENT-NEUFS</v>
      </c>
      <c r="AL293" s="905">
        <f>IFERROR(INDEX(G293:R293,1,MATCH(Parametres!$B$3,G$1:R$1,0)-1)*IF(OR(F293="L",F293="S",F293="I"),-1,1),"")</f>
        <v>30068.2</v>
      </c>
      <c r="AM293" s="905">
        <f t="shared" si="26"/>
        <v>3200.3100000000013</v>
      </c>
      <c r="AN293" s="905">
        <f>INDEX(G293:R293,1,MATCH(Parametres!$B$3,G$1:R$1,0))*IF(OR(F293="L",F293="S",F293="I"),-1,1)</f>
        <v>33268.51</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27"/>
        <v>G0911</v>
      </c>
      <c r="AU293" s="488" t="str">
        <f t="shared" si="28"/>
        <v>AMORT. EQUIPEMENT-NEUFS</v>
      </c>
      <c r="AV293" s="899">
        <f>IFERROR(INDEX(V293:AG293,1,MATCH(Parametres!$B$3,V$1:AG$1,0)-1)*IF(OR(C293="L",C293="S",C293="I"),-1,1),"")</f>
        <v>0</v>
      </c>
      <c r="AW293" s="899">
        <f t="shared" si="29"/>
        <v>0</v>
      </c>
      <c r="AX293" s="899">
        <f>INDEX(V293:AG293,1,MATCH(Parametres!$B$3,V$1:AG$1,0))*IF(OR(C293="L",C293="S",C293="I"),-1,1)</f>
        <v>0</v>
      </c>
      <c r="AY293" s="487" t="s">
        <v>337</v>
      </c>
      <c r="AZ293" s="487">
        <f>+VLOOKUP($AJ293,Data_Validation!$A:$E,5,0)</f>
        <v>0</v>
      </c>
    </row>
    <row r="294" spans="1:52" ht="15" hidden="1" customHeight="1">
      <c r="A294" s="706" t="s">
        <v>1148</v>
      </c>
      <c r="B294" s="706">
        <v>2025</v>
      </c>
      <c r="C294" s="706" t="s">
        <v>1762</v>
      </c>
      <c r="D294" s="706" t="s">
        <v>1763</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G0912</v>
      </c>
      <c r="AK294" s="905" t="str">
        <f t="shared" si="25"/>
        <v>AMORT. EQUIPEMENT-USAGES</v>
      </c>
      <c r="AL294" s="905">
        <f>IFERROR(INDEX(G294:R294,1,MATCH(Parametres!$B$3,G$1:R$1,0)-1)*IF(OR(F294="L",F294="S",F294="I"),-1,1),"")</f>
        <v>20045.47</v>
      </c>
      <c r="AM294" s="905">
        <f t="shared" si="26"/>
        <v>2133.5399999999972</v>
      </c>
      <c r="AN294" s="905">
        <f>INDEX(G294:R294,1,MATCH(Parametres!$B$3,G$1:R$1,0))*IF(OR(F294="L",F294="S",F294="I"),-1,1)</f>
        <v>22179.01</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27"/>
        <v>G0912</v>
      </c>
      <c r="AU294" s="488" t="str">
        <f t="shared" si="28"/>
        <v>AMORT. EQUIPEMENT-USAGES</v>
      </c>
      <c r="AV294" s="899">
        <f>IFERROR(INDEX(V294:AG294,1,MATCH(Parametres!$B$3,V$1:AG$1,0)-1)*IF(OR(C294="L",C294="S",C294="I"),-1,1),"")</f>
        <v>0</v>
      </c>
      <c r="AW294" s="899">
        <f t="shared" si="29"/>
        <v>0</v>
      </c>
      <c r="AX294" s="899">
        <f>INDEX(V294:AG294,1,MATCH(Parametres!$B$3,V$1:AG$1,0))*IF(OR(C294="L",C294="S",C294="I"),-1,1)</f>
        <v>0</v>
      </c>
      <c r="AY294" s="487" t="s">
        <v>337</v>
      </c>
      <c r="AZ294" s="487">
        <f>+VLOOKUP($AJ294,Data_Validation!$A:$E,5,0)</f>
        <v>0</v>
      </c>
    </row>
    <row r="295" spans="1:52" ht="15" hidden="1" customHeight="1">
      <c r="A295" s="706" t="s">
        <v>1148</v>
      </c>
      <c r="B295" s="706">
        <v>2025</v>
      </c>
      <c r="C295" s="706" t="s">
        <v>1764</v>
      </c>
      <c r="D295" s="706" t="s">
        <v>1765</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G0914</v>
      </c>
      <c r="AK295" s="905" t="str">
        <f t="shared" si="25"/>
        <v>AMORT. EQUIPEMENT-SERVICE</v>
      </c>
      <c r="AL295" s="905">
        <f>IFERROR(INDEX(G295:R295,1,MATCH(Parametres!$B$3,G$1:R$1,0)-1)*IF(OR(F295="L",F295="S",F295="I"),-1,1),"")</f>
        <v>30068.2</v>
      </c>
      <c r="AM295" s="905">
        <f t="shared" si="26"/>
        <v>3200.3100000000013</v>
      </c>
      <c r="AN295" s="905">
        <f>INDEX(G295:R295,1,MATCH(Parametres!$B$3,G$1:R$1,0))*IF(OR(F295="L",F295="S",F295="I"),-1,1)</f>
        <v>33268.51</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27"/>
        <v>G0914</v>
      </c>
      <c r="AU295" s="488" t="str">
        <f t="shared" si="28"/>
        <v>AMORT. EQUIPEMENT-SERVICE</v>
      </c>
      <c r="AV295" s="899">
        <f>IFERROR(INDEX(V295:AG295,1,MATCH(Parametres!$B$3,V$1:AG$1,0)-1)*IF(OR(C295="L",C295="S",C295="I"),-1,1),"")</f>
        <v>0</v>
      </c>
      <c r="AW295" s="899">
        <f t="shared" si="29"/>
        <v>0</v>
      </c>
      <c r="AX295" s="899">
        <f>INDEX(V295:AG295,1,MATCH(Parametres!$B$3,V$1:AG$1,0))*IF(OR(C295="L",C295="S",C295="I"),-1,1)</f>
        <v>0</v>
      </c>
      <c r="AY295" s="487" t="s">
        <v>337</v>
      </c>
      <c r="AZ295" s="487">
        <f>+VLOOKUP($AJ295,Data_Validation!$A:$E,5,0)</f>
        <v>0</v>
      </c>
    </row>
    <row r="296" spans="1:52" ht="15" hidden="1" customHeight="1">
      <c r="A296" s="706" t="s">
        <v>1148</v>
      </c>
      <c r="B296" s="706">
        <v>2025</v>
      </c>
      <c r="C296" s="706" t="s">
        <v>1766</v>
      </c>
      <c r="D296" s="706" t="s">
        <v>1767</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G0915</v>
      </c>
      <c r="AK296" s="905" t="str">
        <f t="shared" si="25"/>
        <v>AMORT. EQUIPEMENT-CARROSS</v>
      </c>
      <c r="AL296" s="905">
        <f>IFERROR(INDEX(G296:R296,1,MATCH(Parametres!$B$3,G$1:R$1,0)-1)*IF(OR(F296="L",F296="S",F296="I"),-1,1),"")</f>
        <v>10022.74</v>
      </c>
      <c r="AM296" s="905">
        <f t="shared" si="26"/>
        <v>1066.7700000000004</v>
      </c>
      <c r="AN296" s="905">
        <f>INDEX(G296:R296,1,MATCH(Parametres!$B$3,G$1:R$1,0))*IF(OR(F296="L",F296="S",F296="I"),-1,1)</f>
        <v>11089.51</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27"/>
        <v>G0915</v>
      </c>
      <c r="AU296" s="488" t="str">
        <f t="shared" si="28"/>
        <v>AMORT. EQUIPEMENT-CARROSS</v>
      </c>
      <c r="AV296" s="899">
        <f>IFERROR(INDEX(V296:AG296,1,MATCH(Parametres!$B$3,V$1:AG$1,0)-1)*IF(OR(C296="L",C296="S",C296="I"),-1,1),"")</f>
        <v>0</v>
      </c>
      <c r="AW296" s="899">
        <f t="shared" si="29"/>
        <v>0</v>
      </c>
      <c r="AX296" s="899">
        <f>INDEX(V296:AG296,1,MATCH(Parametres!$B$3,V$1:AG$1,0))*IF(OR(C296="L",C296="S",C296="I"),-1,1)</f>
        <v>0</v>
      </c>
      <c r="AY296" s="487" t="s">
        <v>337</v>
      </c>
      <c r="AZ296" s="487">
        <f>+VLOOKUP($AJ296,Data_Validation!$A:$E,5,0)</f>
        <v>0</v>
      </c>
    </row>
    <row r="297" spans="1:52" ht="15.75" hidden="1" customHeight="1">
      <c r="A297" s="706" t="s">
        <v>1148</v>
      </c>
      <c r="B297" s="706">
        <v>2025</v>
      </c>
      <c r="C297" s="706" t="s">
        <v>1768</v>
      </c>
      <c r="D297" s="706" t="s">
        <v>1769</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G0916</v>
      </c>
      <c r="AK297" s="905" t="str">
        <f t="shared" si="25"/>
        <v>AMORT. EQUIPEMENT-PCES</v>
      </c>
      <c r="AL297" s="905">
        <f>IFERROR(INDEX(G297:R297,1,MATCH(Parametres!$B$3,G$1:R$1,0)-1)*IF(OR(F297="L",F297="S",F297="I"),-1,1),"")</f>
        <v>10022.719999999999</v>
      </c>
      <c r="AM297" s="905">
        <f t="shared" si="26"/>
        <v>1066.7600000000002</v>
      </c>
      <c r="AN297" s="905">
        <f>INDEX(G297:R297,1,MATCH(Parametres!$B$3,G$1:R$1,0))*IF(OR(F297="L",F297="S",F297="I"),-1,1)</f>
        <v>11089.48</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27"/>
        <v>G0916</v>
      </c>
      <c r="AU297" s="488" t="str">
        <f t="shared" si="28"/>
        <v>AMORT. EQUIPEMENT-PCES</v>
      </c>
      <c r="AV297" s="899">
        <f>IFERROR(INDEX(V297:AG297,1,MATCH(Parametres!$B$3,V$1:AG$1,0)-1)*IF(OR(C297="L",C297="S",C297="I"),-1,1),"")</f>
        <v>0</v>
      </c>
      <c r="AW297" s="899">
        <f t="shared" si="29"/>
        <v>0</v>
      </c>
      <c r="AX297" s="899">
        <f>INDEX(V297:AG297,1,MATCH(Parametres!$B$3,V$1:AG$1,0))*IF(OR(C297="L",C297="S",C297="I"),-1,1)</f>
        <v>0</v>
      </c>
      <c r="AY297" s="487" t="s">
        <v>337</v>
      </c>
      <c r="AZ297" s="487">
        <f>+VLOOKUP($AJ297,Data_Validation!$A:$E,5,0)</f>
        <v>0</v>
      </c>
    </row>
    <row r="298" spans="1:52" ht="15" customHeight="1">
      <c r="A298" s="706" t="s">
        <v>1148</v>
      </c>
      <c r="B298" s="706">
        <v>2025</v>
      </c>
      <c r="C298" s="706" t="s">
        <v>1770</v>
      </c>
      <c r="D298" s="706" t="s">
        <v>1771</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G0920</v>
      </c>
      <c r="AK298" s="905" t="str">
        <f t="shared" si="25"/>
        <v>LOCATION EQUIP REP.</v>
      </c>
      <c r="AL298" s="905">
        <f>IFERROR(INDEX(G298:R298,1,MATCH(Parametres!$B$3,G$1:R$1,0)-1)*IF(OR(F298="L",F298="S",F298="I"),-1,1),"")</f>
        <v>0</v>
      </c>
      <c r="AM298" s="905">
        <f t="shared" si="26"/>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27"/>
        <v>G0920</v>
      </c>
      <c r="AU298" s="488" t="str">
        <f t="shared" si="28"/>
        <v>LOCATION EQUIP REP.</v>
      </c>
      <c r="AV298" s="899">
        <f>IFERROR(INDEX(V298:AG298,1,MATCH(Parametres!$B$3,V$1:AG$1,0)-1)*IF(OR(C298="L",C298="S",C298="I"),-1,1),"")</f>
        <v>0</v>
      </c>
      <c r="AW298" s="899">
        <f t="shared" si="29"/>
        <v>0</v>
      </c>
      <c r="AX298" s="899">
        <f>INDEX(V298:AG298,1,MATCH(Parametres!$B$3,V$1:AG$1,0))*IF(OR(C298="L",C298="S",C298="I"),-1,1)</f>
        <v>0</v>
      </c>
      <c r="AY298" s="487" t="s">
        <v>337</v>
      </c>
      <c r="AZ298" s="487" t="e">
        <f>+VLOOKUP($AJ298,Data_Validation!$A:$E,5,0)</f>
        <v>#N/A</v>
      </c>
    </row>
    <row r="299" spans="1:52" ht="15" hidden="1" customHeight="1">
      <c r="A299" s="706" t="s">
        <v>1148</v>
      </c>
      <c r="B299" s="706">
        <v>2025</v>
      </c>
      <c r="C299" s="706" t="s">
        <v>1772</v>
      </c>
      <c r="D299" s="706" t="s">
        <v>1773</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G0921</v>
      </c>
      <c r="AK299" s="905" t="str">
        <f t="shared" si="25"/>
        <v>LOCATION EQUIPEM.-NEUF</v>
      </c>
      <c r="AL299" s="905">
        <f>IFERROR(INDEX(G299:R299,1,MATCH(Parametres!$B$3,G$1:R$1,0)-1)*IF(OR(F299="L",F299="S",F299="I"),-1,1),"")</f>
        <v>539.82000000000005</v>
      </c>
      <c r="AM299" s="905">
        <f t="shared" si="26"/>
        <v>59.979999999999905</v>
      </c>
      <c r="AN299" s="905">
        <f>INDEX(G299:R299,1,MATCH(Parametres!$B$3,G$1:R$1,0))*IF(OR(F299="L",F299="S",F299="I"),-1,1)</f>
        <v>599.79999999999995</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27"/>
        <v>G0921</v>
      </c>
      <c r="AU299" s="488" t="str">
        <f t="shared" si="28"/>
        <v>LOCATION EQUIPEM.-NEUF</v>
      </c>
      <c r="AV299" s="899">
        <f>IFERROR(INDEX(V299:AG299,1,MATCH(Parametres!$B$3,V$1:AG$1,0)-1)*IF(OR(C299="L",C299="S",C299="I"),-1,1),"")</f>
        <v>0</v>
      </c>
      <c r="AW299" s="899">
        <f t="shared" si="29"/>
        <v>0</v>
      </c>
      <c r="AX299" s="899">
        <f>INDEX(V299:AG299,1,MATCH(Parametres!$B$3,V$1:AG$1,0))*IF(OR(C299="L",C299="S",C299="I"),-1,1)</f>
        <v>0</v>
      </c>
      <c r="AY299" s="487" t="s">
        <v>337</v>
      </c>
      <c r="AZ299" s="487">
        <f>+VLOOKUP($AJ299,Data_Validation!$A:$E,5,0)</f>
        <v>0</v>
      </c>
    </row>
    <row r="300" spans="1:52" ht="15" hidden="1" customHeight="1">
      <c r="A300" s="706" t="s">
        <v>1148</v>
      </c>
      <c r="B300" s="706">
        <v>2025</v>
      </c>
      <c r="C300" s="706" t="s">
        <v>1774</v>
      </c>
      <c r="D300" s="706" t="s">
        <v>1775</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G0922</v>
      </c>
      <c r="AK300" s="905" t="str">
        <f t="shared" si="25"/>
        <v>LOCATION EQUIPEM.-USAGES</v>
      </c>
      <c r="AL300" s="905">
        <f>IFERROR(INDEX(G300:R300,1,MATCH(Parametres!$B$3,G$1:R$1,0)-1)*IF(OR(F300="L",F300="S",F300="I"),-1,1),"")</f>
        <v>337.41</v>
      </c>
      <c r="AM300" s="905">
        <f t="shared" si="26"/>
        <v>37.489999999999952</v>
      </c>
      <c r="AN300" s="905">
        <f>INDEX(G300:R300,1,MATCH(Parametres!$B$3,G$1:R$1,0))*IF(OR(F300="L",F300="S",F300="I"),-1,1)</f>
        <v>374.9</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27"/>
        <v>G0922</v>
      </c>
      <c r="AU300" s="488" t="str">
        <f t="shared" si="28"/>
        <v>LOCATION EQUIPEM.-USAGES</v>
      </c>
      <c r="AV300" s="899">
        <f>IFERROR(INDEX(V300:AG300,1,MATCH(Parametres!$B$3,V$1:AG$1,0)-1)*IF(OR(C300="L",C300="S",C300="I"),-1,1),"")</f>
        <v>0</v>
      </c>
      <c r="AW300" s="899">
        <f t="shared" si="29"/>
        <v>0</v>
      </c>
      <c r="AX300" s="899">
        <f>INDEX(V300:AG300,1,MATCH(Parametres!$B$3,V$1:AG$1,0))*IF(OR(C300="L",C300="S",C300="I"),-1,1)</f>
        <v>0</v>
      </c>
      <c r="AY300" s="487" t="s">
        <v>337</v>
      </c>
      <c r="AZ300" s="487">
        <f>+VLOOKUP($AJ300,Data_Validation!$A:$E,5,0)</f>
        <v>0</v>
      </c>
    </row>
    <row r="301" spans="1:52" ht="15.75" hidden="1" customHeight="1">
      <c r="A301" s="706" t="s">
        <v>1148</v>
      </c>
      <c r="B301" s="706">
        <v>2025</v>
      </c>
      <c r="C301" s="706" t="s">
        <v>1776</v>
      </c>
      <c r="D301" s="706" t="s">
        <v>1777</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G0924</v>
      </c>
      <c r="AK301" s="905" t="str">
        <f t="shared" si="25"/>
        <v>LOCATION EQUIPEM.-SERVICE</v>
      </c>
      <c r="AL301" s="905">
        <f>IFERROR(INDEX(G301:R301,1,MATCH(Parametres!$B$3,G$1:R$1,0)-1)*IF(OR(F301="L",F301="S",F301="I"),-1,1),"")</f>
        <v>5810.47</v>
      </c>
      <c r="AM301" s="905">
        <f t="shared" si="26"/>
        <v>575.48999999999978</v>
      </c>
      <c r="AN301" s="905">
        <f>INDEX(G301:R301,1,MATCH(Parametres!$B$3,G$1:R$1,0))*IF(OR(F301="L",F301="S",F301="I"),-1,1)</f>
        <v>6385.96</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27"/>
        <v>G0924</v>
      </c>
      <c r="AU301" s="488" t="str">
        <f t="shared" si="28"/>
        <v>LOCATION EQUIPEM.-SERVICE</v>
      </c>
      <c r="AV301" s="899">
        <f>IFERROR(INDEX(V301:AG301,1,MATCH(Parametres!$B$3,V$1:AG$1,0)-1)*IF(OR(C301="L",C301="S",C301="I"),-1,1),"")</f>
        <v>0</v>
      </c>
      <c r="AW301" s="899">
        <f t="shared" si="29"/>
        <v>0</v>
      </c>
      <c r="AX301" s="899">
        <f>INDEX(V301:AG301,1,MATCH(Parametres!$B$3,V$1:AG$1,0))*IF(OR(C301="L",C301="S",C301="I"),-1,1)</f>
        <v>0</v>
      </c>
      <c r="AY301" s="487" t="s">
        <v>337</v>
      </c>
      <c r="AZ301" s="487">
        <f>+VLOOKUP($AJ301,Data_Validation!$A:$E,5,0)</f>
        <v>0</v>
      </c>
    </row>
    <row r="302" spans="1:52" ht="15" hidden="1" customHeight="1">
      <c r="A302" s="706" t="s">
        <v>1148</v>
      </c>
      <c r="B302" s="706">
        <v>2025</v>
      </c>
      <c r="C302" s="706" t="s">
        <v>1778</v>
      </c>
      <c r="D302" s="706" t="s">
        <v>1779</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G0925</v>
      </c>
      <c r="AK302" s="905" t="str">
        <f t="shared" si="25"/>
        <v>LOCATION EQUIPEM.-CARROS.</v>
      </c>
      <c r="AL302" s="905">
        <f>IFERROR(INDEX(G302:R302,1,MATCH(Parametres!$B$3,G$1:R$1,0)-1)*IF(OR(F302="L",F302="S",F302="I"),-1,1),"")</f>
        <v>631.1</v>
      </c>
      <c r="AM302" s="905">
        <f t="shared" si="26"/>
        <v>7.5</v>
      </c>
      <c r="AN302" s="905">
        <f>INDEX(G302:R302,1,MATCH(Parametres!$B$3,G$1:R$1,0))*IF(OR(F302="L",F302="S",F302="I"),-1,1)</f>
        <v>638.6</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27"/>
        <v>G0925</v>
      </c>
      <c r="AU302" s="488" t="str">
        <f t="shared" si="28"/>
        <v>LOCATION EQUIPEM.-CARROS.</v>
      </c>
      <c r="AV302" s="899">
        <f>IFERROR(INDEX(V302:AG302,1,MATCH(Parametres!$B$3,V$1:AG$1,0)-1)*IF(OR(C302="L",C302="S",C302="I"),-1,1),"")</f>
        <v>0</v>
      </c>
      <c r="AW302" s="899">
        <f t="shared" si="29"/>
        <v>0</v>
      </c>
      <c r="AX302" s="899">
        <f>INDEX(V302:AG302,1,MATCH(Parametres!$B$3,V$1:AG$1,0))*IF(OR(C302="L",C302="S",C302="I"),-1,1)</f>
        <v>0</v>
      </c>
      <c r="AY302" s="487" t="s">
        <v>337</v>
      </c>
      <c r="AZ302" s="487">
        <f>+VLOOKUP($AJ302,Data_Validation!$A:$E,5,0)</f>
        <v>0</v>
      </c>
    </row>
    <row r="303" spans="1:52" ht="15" hidden="1" customHeight="1">
      <c r="A303" s="706" t="s">
        <v>1148</v>
      </c>
      <c r="B303" s="706">
        <v>2025</v>
      </c>
      <c r="C303" s="706" t="s">
        <v>1780</v>
      </c>
      <c r="D303" s="706" t="s">
        <v>1781</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G0926</v>
      </c>
      <c r="AK303" s="905" t="str">
        <f t="shared" si="25"/>
        <v>LOCATION EQUIPEM.-PCES</v>
      </c>
      <c r="AL303" s="905">
        <f>IFERROR(INDEX(G303:R303,1,MATCH(Parametres!$B$3,G$1:R$1,0)-1)*IF(OR(F303="L",F303="S",F303="I"),-1,1),"")</f>
        <v>254.88</v>
      </c>
      <c r="AM303" s="905">
        <f t="shared" si="26"/>
        <v>31.490000000000009</v>
      </c>
      <c r="AN303" s="905">
        <f>INDEX(G303:R303,1,MATCH(Parametres!$B$3,G$1:R$1,0))*IF(OR(F303="L",F303="S",F303="I"),-1,1)</f>
        <v>286.37</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27"/>
        <v>G0926</v>
      </c>
      <c r="AU303" s="488" t="str">
        <f t="shared" si="28"/>
        <v>LOCATION EQUIPEM.-PCES</v>
      </c>
      <c r="AV303" s="899">
        <f>IFERROR(INDEX(V303:AG303,1,MATCH(Parametres!$B$3,V$1:AG$1,0)-1)*IF(OR(C303="L",C303="S",C303="I"),-1,1),"")</f>
        <v>0</v>
      </c>
      <c r="AW303" s="899">
        <f t="shared" si="29"/>
        <v>0</v>
      </c>
      <c r="AX303" s="899">
        <f>INDEX(V303:AG303,1,MATCH(Parametres!$B$3,V$1:AG$1,0))*IF(OR(C303="L",C303="S",C303="I"),-1,1)</f>
        <v>0</v>
      </c>
      <c r="AY303" s="487" t="s">
        <v>337</v>
      </c>
      <c r="AZ303" s="487">
        <f>+VLOOKUP($AJ303,Data_Validation!$A:$E,5,0)</f>
        <v>0</v>
      </c>
    </row>
    <row r="304" spans="1:52" ht="15" customHeight="1">
      <c r="A304" s="706" t="s">
        <v>1148</v>
      </c>
      <c r="B304" s="706">
        <v>2025</v>
      </c>
      <c r="C304" s="706" t="s">
        <v>1782</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G0929</v>
      </c>
      <c r="AK304" s="905" t="str">
        <f t="shared" si="25"/>
        <v>DOCUMENTS CANCELLES</v>
      </c>
      <c r="AL304" s="905">
        <f>IFERROR(INDEX(G304:R304,1,MATCH(Parametres!$B$3,G$1:R$1,0)-1)*IF(OR(F304="L",F304="S",F304="I"),-1,1),"")</f>
        <v>0</v>
      </c>
      <c r="AM304" s="905">
        <f t="shared" si="26"/>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27"/>
        <v>G0929</v>
      </c>
      <c r="AU304" s="488" t="str">
        <f t="shared" si="28"/>
        <v>DOCUMENTS CANCELLES</v>
      </c>
      <c r="AV304" s="899">
        <f>IFERROR(INDEX(V304:AG304,1,MATCH(Parametres!$B$3,V$1:AG$1,0)-1)*IF(OR(C304="L",C304="S",C304="I"),-1,1),"")</f>
        <v>0</v>
      </c>
      <c r="AW304" s="899">
        <f t="shared" si="29"/>
        <v>0</v>
      </c>
      <c r="AX304" s="899">
        <f>INDEX(V304:AG304,1,MATCH(Parametres!$B$3,V$1:AG$1,0))*IF(OR(C304="L",C304="S",C304="I"),-1,1)</f>
        <v>0</v>
      </c>
      <c r="AY304" s="487" t="s">
        <v>337</v>
      </c>
      <c r="AZ304" s="487" t="e">
        <f>+VLOOKUP($AJ304,Data_Validation!$A:$E,5,0)</f>
        <v>#N/A</v>
      </c>
    </row>
    <row r="305" spans="1:52" ht="15.75" customHeight="1">
      <c r="A305" s="706" t="s">
        <v>1148</v>
      </c>
      <c r="B305" s="706">
        <v>2025</v>
      </c>
      <c r="C305" s="706" t="s">
        <v>1783</v>
      </c>
      <c r="D305" s="706" t="s">
        <v>1784</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G0996</v>
      </c>
      <c r="AK305" s="905" t="str">
        <f t="shared" si="25"/>
        <v>IN &amp; OUT PAYROLL</v>
      </c>
      <c r="AL305" s="905">
        <f>IFERROR(INDEX(G305:R305,1,MATCH(Parametres!$B$3,G$1:R$1,0)-1)*IF(OR(F305="L",F305="S",F305="I"),-1,1),"")</f>
        <v>0</v>
      </c>
      <c r="AM305" s="905">
        <f t="shared" si="26"/>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G0996</v>
      </c>
      <c r="AU305" s="488" t="str">
        <f t="shared" si="28"/>
        <v>IN &amp; OUT PAYROLL</v>
      </c>
      <c r="AV305" s="899">
        <f>IFERROR(INDEX(V305:AG305,1,MATCH(Parametres!$B$3,V$1:AG$1,0)-1)*IF(OR(C305="L",C305="S",C305="I"),-1,1),"")</f>
        <v>0</v>
      </c>
      <c r="AW305" s="899">
        <f t="shared" si="29"/>
        <v>0</v>
      </c>
      <c r="AX305" s="899">
        <f>INDEX(V305:AG305,1,MATCH(Parametres!$B$3,V$1:AG$1,0))*IF(OR(C305="L",C305="S",C305="I"),-1,1)</f>
        <v>0</v>
      </c>
      <c r="AY305" s="487" t="s">
        <v>337</v>
      </c>
      <c r="AZ305" s="487" t="e">
        <f>+VLOOKUP($AJ305,Data_Validation!$A:$E,5,0)</f>
        <v>#N/A</v>
      </c>
    </row>
    <row r="306" spans="1:52" ht="15" hidden="1" customHeight="1">
      <c r="A306" s="706" t="s">
        <v>1148</v>
      </c>
      <c r="B306" s="706">
        <v>2025</v>
      </c>
      <c r="C306" s="706" t="s">
        <v>1785</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G1100</v>
      </c>
      <c r="AK306" s="905" t="str">
        <f t="shared" si="25"/>
        <v>VENTES AU COMPTANT</v>
      </c>
      <c r="AL306" s="905">
        <f>IFERROR(INDEX(G306:R306,1,MATCH(Parametres!$B$3,G$1:R$1,0)-1)*IF(OR(F306="L",F306="S",F306="I"),-1,1),"")</f>
        <v>0</v>
      </c>
      <c r="AM306" s="905">
        <f t="shared" si="26"/>
        <v>0</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27"/>
        <v>G1100</v>
      </c>
      <c r="AU306" s="488" t="str">
        <f t="shared" si="28"/>
        <v>VENTES AU COMPTANT</v>
      </c>
      <c r="AV306" s="899">
        <f>IFERROR(INDEX(V306:AG306,1,MATCH(Parametres!$B$3,V$1:AG$1,0)-1)*IF(OR(C306="L",C306="S",C306="I"),-1,1),"")</f>
        <v>0</v>
      </c>
      <c r="AW306" s="899">
        <f t="shared" si="29"/>
        <v>0</v>
      </c>
      <c r="AX306" s="899">
        <f>INDEX(V306:AG306,1,MATCH(Parametres!$B$3,V$1:AG$1,0))*IF(OR(C306="L",C306="S",C306="I"),-1,1)</f>
        <v>0</v>
      </c>
      <c r="AY306" s="487" t="s">
        <v>337</v>
      </c>
      <c r="AZ306" s="487">
        <f>+VLOOKUP($AJ306,Data_Validation!$A:$E,5,0)</f>
        <v>0</v>
      </c>
    </row>
    <row r="307" spans="1:52" ht="15" hidden="1" customHeight="1">
      <c r="A307" s="706" t="s">
        <v>1148</v>
      </c>
      <c r="B307" s="706">
        <v>2025</v>
      </c>
      <c r="C307" s="706" t="s">
        <v>1786</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G20000</v>
      </c>
      <c r="AK307" s="905" t="str">
        <f t="shared" si="25"/>
        <v>PETITE CAISSE</v>
      </c>
      <c r="AL307" s="905">
        <f>IFERROR(INDEX(G307:R307,1,MATCH(Parametres!$B$3,G$1:R$1,0)-1)*IF(OR(F307="L",F307="S",F307="I"),-1,1),"")</f>
        <v>2266.0500000000002</v>
      </c>
      <c r="AM307" s="905">
        <f t="shared" si="26"/>
        <v>0</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27"/>
        <v>G20000</v>
      </c>
      <c r="AU307" s="488" t="str">
        <f t="shared" si="28"/>
        <v>PETITE CAISSE</v>
      </c>
      <c r="AV307" s="899">
        <f>IFERROR(INDEX(V307:AG307,1,MATCH(Parametres!$B$3,V$1:AG$1,0)-1)*IF(OR(C307="L",C307="S",C307="I"),-1,1),"")</f>
        <v>0</v>
      </c>
      <c r="AW307" s="899">
        <f t="shared" si="29"/>
        <v>0</v>
      </c>
      <c r="AX307" s="899">
        <f>INDEX(V307:AG307,1,MATCH(Parametres!$B$3,V$1:AG$1,0))*IF(OR(C307="L",C307="S",C307="I"),-1,1)</f>
        <v>0</v>
      </c>
      <c r="AY307" s="487" t="s">
        <v>337</v>
      </c>
      <c r="AZ307" s="487">
        <f>+VLOOKUP($AJ307,Data_Validation!$A:$E,5,0)</f>
        <v>0</v>
      </c>
    </row>
    <row r="308" spans="1:52" ht="15" hidden="1" customHeight="1">
      <c r="A308" s="706" t="s">
        <v>1148</v>
      </c>
      <c r="B308" s="706">
        <v>2025</v>
      </c>
      <c r="C308" s="706" t="s">
        <v>1787</v>
      </c>
      <c r="D308" s="706" t="s">
        <v>1788</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G20001</v>
      </c>
      <c r="AK308" s="905" t="str">
        <f t="shared" si="25"/>
        <v>FUSION PAIE/COMMISSIONS</v>
      </c>
      <c r="AL308" s="905">
        <f>IFERROR(INDEX(G308:R308,1,MATCH(Parametres!$B$3,G$1:R$1,0)-1)*IF(OR(F308="L",F308="S",F308="I"),-1,1),"")</f>
        <v>-0.05</v>
      </c>
      <c r="AM308" s="905">
        <f t="shared" si="26"/>
        <v>0.04</v>
      </c>
      <c r="AN308" s="905">
        <f>INDEX(G308:R308,1,MATCH(Parametres!$B$3,G$1:R$1,0))*IF(OR(F308="L",F308="S",F308="I"),-1,1)</f>
        <v>-0.01</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27"/>
        <v>G20001</v>
      </c>
      <c r="AU308" s="488" t="str">
        <f t="shared" si="28"/>
        <v>FUSION PAIE/COMMISSIONS</v>
      </c>
      <c r="AV308" s="899">
        <f>IFERROR(INDEX(V308:AG308,1,MATCH(Parametres!$B$3,V$1:AG$1,0)-1)*IF(OR(C308="L",C308="S",C308="I"),-1,1),"")</f>
        <v>0</v>
      </c>
      <c r="AW308" s="899">
        <f t="shared" si="29"/>
        <v>0</v>
      </c>
      <c r="AX308" s="899">
        <f>INDEX(V308:AG308,1,MATCH(Parametres!$B$3,V$1:AG$1,0))*IF(OR(C308="L",C308="S",C308="I"),-1,1)</f>
        <v>0</v>
      </c>
      <c r="AY308" s="487" t="s">
        <v>337</v>
      </c>
      <c r="AZ308" s="487">
        <f>+VLOOKUP($AJ308,Data_Validation!$A:$E,5,0)</f>
        <v>0</v>
      </c>
    </row>
    <row r="309" spans="1:52" ht="15.75" hidden="1" customHeight="1">
      <c r="A309" s="706" t="s">
        <v>1148</v>
      </c>
      <c r="B309" s="706">
        <v>2025</v>
      </c>
      <c r="C309" s="706" t="s">
        <v>1789</v>
      </c>
      <c r="D309" s="706" t="s">
        <v>1790</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G20100</v>
      </c>
      <c r="AK309" s="905" t="str">
        <f t="shared" si="25"/>
        <v>DESJARDINS CTE</v>
      </c>
      <c r="AL309" s="905">
        <f>IFERROR(INDEX(G309:R309,1,MATCH(Parametres!$B$3,G$1:R$1,0)-1)*IF(OR(F309="L",F309="S",F309="I"),-1,1),"")</f>
        <v>0</v>
      </c>
      <c r="AM309" s="905">
        <f t="shared" si="26"/>
        <v>0</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27"/>
        <v>G20100</v>
      </c>
      <c r="AU309" s="488" t="str">
        <f t="shared" si="28"/>
        <v>DESJARDINS CTE</v>
      </c>
      <c r="AV309" s="899">
        <f>IFERROR(INDEX(V309:AG309,1,MATCH(Parametres!$B$3,V$1:AG$1,0)-1)*IF(OR(C309="L",C309="S",C309="I"),-1,1),"")</f>
        <v>0</v>
      </c>
      <c r="AW309" s="899">
        <f t="shared" si="29"/>
        <v>0</v>
      </c>
      <c r="AX309" s="899">
        <f>INDEX(V309:AG309,1,MATCH(Parametres!$B$3,V$1:AG$1,0))*IF(OR(C309="L",C309="S",C309="I"),-1,1)</f>
        <v>0</v>
      </c>
      <c r="AY309" s="487" t="s">
        <v>337</v>
      </c>
      <c r="AZ309" s="487">
        <f>+VLOOKUP($AJ309,Data_Validation!$A:$E,5,0)</f>
        <v>0</v>
      </c>
    </row>
    <row r="310" spans="1:52" ht="15" hidden="1" customHeight="1">
      <c r="A310" s="706" t="s">
        <v>1148</v>
      </c>
      <c r="B310" s="706">
        <v>2025</v>
      </c>
      <c r="C310" s="706" t="s">
        <v>1791</v>
      </c>
      <c r="D310" s="706" t="s">
        <v>1792</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G2020A</v>
      </c>
      <c r="AK310" s="905" t="str">
        <f t="shared" si="25"/>
        <v>BNQ NATIONALE MASTER CARD</v>
      </c>
      <c r="AL310" s="905">
        <f>IFERROR(INDEX(G310:R310,1,MATCH(Parametres!$B$3,G$1:R$1,0)-1)*IF(OR(F310="L",F310="S",F310="I"),-1,1),"")</f>
        <v>0</v>
      </c>
      <c r="AM310" s="905">
        <f t="shared" si="26"/>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27"/>
        <v>G2020A</v>
      </c>
      <c r="AU310" s="488" t="str">
        <f t="shared" si="28"/>
        <v>BNQ NATIONALE MASTER CARD</v>
      </c>
      <c r="AV310" s="899">
        <f>IFERROR(INDEX(V310:AG310,1,MATCH(Parametres!$B$3,V$1:AG$1,0)-1)*IF(OR(C310="L",C310="S",C310="I"),-1,1),"")</f>
        <v>0</v>
      </c>
      <c r="AW310" s="899">
        <f t="shared" si="29"/>
        <v>0</v>
      </c>
      <c r="AX310" s="899">
        <f>INDEX(V310:AG310,1,MATCH(Parametres!$B$3,V$1:AG$1,0))*IF(OR(C310="L",C310="S",C310="I"),-1,1)</f>
        <v>0</v>
      </c>
      <c r="AY310" s="487" t="s">
        <v>337</v>
      </c>
      <c r="AZ310" s="487" t="e">
        <f>+VLOOKUP($AJ310,Data_Validation!$A:$E,5,0)</f>
        <v>#N/A</v>
      </c>
    </row>
    <row r="311" spans="1:52" ht="15" hidden="1" customHeight="1">
      <c r="A311" s="706" t="s">
        <v>1148</v>
      </c>
      <c r="B311" s="706">
        <v>2025</v>
      </c>
      <c r="C311" s="706" t="s">
        <v>1793</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G20200</v>
      </c>
      <c r="AK311" s="905" t="str">
        <f t="shared" si="25"/>
        <v>BANQUE TD CANADA TRUST</v>
      </c>
      <c r="AL311" s="905">
        <f>IFERROR(INDEX(G311:R311,1,MATCH(Parametres!$B$3,G$1:R$1,0)-1)*IF(OR(F311="L",F311="S",F311="I"),-1,1),"")</f>
        <v>2113536.2400000002</v>
      </c>
      <c r="AM311" s="905">
        <f t="shared" si="26"/>
        <v>724000.69</v>
      </c>
      <c r="AN311" s="905">
        <f>INDEX(G311:R311,1,MATCH(Parametres!$B$3,G$1:R$1,0))*IF(OR(F311="L",F311="S",F311="I"),-1,1)</f>
        <v>2837536.93</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27"/>
        <v>G20200</v>
      </c>
      <c r="AU311" s="488" t="str">
        <f t="shared" si="28"/>
        <v>BANQUE TD CANADA TRUST</v>
      </c>
      <c r="AV311" s="899">
        <f>IFERROR(INDEX(V311:AG311,1,MATCH(Parametres!$B$3,V$1:AG$1,0)-1)*IF(OR(C311="L",C311="S",C311="I"),-1,1),"")</f>
        <v>0</v>
      </c>
      <c r="AW311" s="899">
        <f t="shared" si="29"/>
        <v>0</v>
      </c>
      <c r="AX311" s="899">
        <f>INDEX(V311:AG311,1,MATCH(Parametres!$B$3,V$1:AG$1,0))*IF(OR(C311="L",C311="S",C311="I"),-1,1)</f>
        <v>0</v>
      </c>
      <c r="AY311" s="487" t="s">
        <v>337</v>
      </c>
      <c r="AZ311" s="487">
        <f>+VLOOKUP($AJ311,Data_Validation!$A:$E,5,0)</f>
        <v>0</v>
      </c>
    </row>
    <row r="312" spans="1:52" ht="15" hidden="1" customHeight="1">
      <c r="A312" s="706" t="s">
        <v>1148</v>
      </c>
      <c r="B312" s="706">
        <v>2025</v>
      </c>
      <c r="C312" s="706" t="s">
        <v>1794</v>
      </c>
      <c r="D312" s="706" t="s">
        <v>1795</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G20201</v>
      </c>
      <c r="AK312" s="905" t="str">
        <f t="shared" si="25"/>
        <v>ENCAISSE DEPOTS CLIENTS</v>
      </c>
      <c r="AL312" s="905">
        <f>IFERROR(INDEX(G312:R312,1,MATCH(Parametres!$B$3,G$1:R$1,0)-1)*IF(OR(F312="L",F312="S",F312="I"),-1,1),"")</f>
        <v>0</v>
      </c>
      <c r="AM312" s="905">
        <f t="shared" si="26"/>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G20201</v>
      </c>
      <c r="AU312" s="488" t="str">
        <f t="shared" si="28"/>
        <v>ENCAISSE DEPOTS CLIENTS</v>
      </c>
      <c r="AV312" s="899">
        <f>IFERROR(INDEX(V312:AG312,1,MATCH(Parametres!$B$3,V$1:AG$1,0)-1)*IF(OR(C312="L",C312="S",C312="I"),-1,1),"")</f>
        <v>0</v>
      </c>
      <c r="AW312" s="899">
        <f t="shared" si="29"/>
        <v>0</v>
      </c>
      <c r="AX312" s="899">
        <f>INDEX(V312:AG312,1,MATCH(Parametres!$B$3,V$1:AG$1,0))*IF(OR(C312="L",C312="S",C312="I"),-1,1)</f>
        <v>0</v>
      </c>
      <c r="AY312" s="487" t="s">
        <v>337</v>
      </c>
      <c r="AZ312" s="487" t="e">
        <f>+VLOOKUP($AJ312,Data_Validation!$A:$E,5,0)</f>
        <v>#N/A</v>
      </c>
    </row>
    <row r="313" spans="1:52" ht="15" hidden="1" customHeight="1">
      <c r="A313" s="706" t="s">
        <v>1148</v>
      </c>
      <c r="B313" s="706">
        <v>2025</v>
      </c>
      <c r="C313" s="706" t="s">
        <v>1796</v>
      </c>
      <c r="D313" s="706" t="s">
        <v>1797</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G20202</v>
      </c>
      <c r="AK313" s="905" t="str">
        <f t="shared" si="25"/>
        <v>ENCAISSE COMPTE SALAIRE</v>
      </c>
      <c r="AL313" s="905">
        <f>IFERROR(INDEX(G313:R313,1,MATCH(Parametres!$B$3,G$1:R$1,0)-1)*IF(OR(F313="L",F313="S",F313="I"),-1,1),"")</f>
        <v>0</v>
      </c>
      <c r="AM313" s="905">
        <f t="shared" si="26"/>
        <v>0</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27"/>
        <v>G20202</v>
      </c>
      <c r="AU313" s="488" t="str">
        <f t="shared" si="28"/>
        <v>ENCAISSE COMPTE SALAIRE</v>
      </c>
      <c r="AV313" s="899">
        <f>IFERROR(INDEX(V313:AG313,1,MATCH(Parametres!$B$3,V$1:AG$1,0)-1)*IF(OR(C313="L",C313="S",C313="I"),-1,1),"")</f>
        <v>0</v>
      </c>
      <c r="AW313" s="899">
        <f t="shared" si="29"/>
        <v>0</v>
      </c>
      <c r="AX313" s="899">
        <f>INDEX(V313:AG313,1,MATCH(Parametres!$B$3,V$1:AG$1,0))*IF(OR(C313="L",C313="S",C313="I"),-1,1)</f>
        <v>0</v>
      </c>
      <c r="AY313" s="487" t="s">
        <v>337</v>
      </c>
      <c r="AZ313" s="487">
        <f>+VLOOKUP($AJ313,Data_Validation!$A:$E,5,0)</f>
        <v>0</v>
      </c>
    </row>
    <row r="314" spans="1:52" ht="15" hidden="1" customHeight="1">
      <c r="A314" s="706" t="s">
        <v>1148</v>
      </c>
      <c r="B314" s="706">
        <v>2025</v>
      </c>
      <c r="C314" s="706" t="s">
        <v>1798</v>
      </c>
      <c r="D314" s="706" t="s">
        <v>1792</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G2021A</v>
      </c>
      <c r="AK314" s="905" t="str">
        <f t="shared" si="25"/>
        <v>BNQ NATIONALE MASTER CARD</v>
      </c>
      <c r="AL314" s="905">
        <f>IFERROR(INDEX(G314:R314,1,MATCH(Parametres!$B$3,G$1:R$1,0)-1)*IF(OR(F314="L",F314="S",F314="I"),-1,1),"")</f>
        <v>0</v>
      </c>
      <c r="AM314" s="905">
        <f t="shared" si="26"/>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27"/>
        <v>G2021A</v>
      </c>
      <c r="AU314" s="488" t="str">
        <f t="shared" si="28"/>
        <v>BNQ NATIONALE MASTER CARD</v>
      </c>
      <c r="AV314" s="899">
        <f>IFERROR(INDEX(V314:AG314,1,MATCH(Parametres!$B$3,V$1:AG$1,0)-1)*IF(OR(C314="L",C314="S",C314="I"),-1,1),"")</f>
        <v>0</v>
      </c>
      <c r="AW314" s="899">
        <f t="shared" si="29"/>
        <v>0</v>
      </c>
      <c r="AX314" s="899">
        <f>INDEX(V314:AG314,1,MATCH(Parametres!$B$3,V$1:AG$1,0))*IF(OR(C314="L",C314="S",C314="I"),-1,1)</f>
        <v>0</v>
      </c>
      <c r="AY314" s="487" t="s">
        <v>337</v>
      </c>
      <c r="AZ314" s="487" t="e">
        <f>+VLOOKUP($AJ314,Data_Validation!$A:$E,5,0)</f>
        <v>#N/A</v>
      </c>
    </row>
    <row r="315" spans="1:52" ht="15" hidden="1" customHeight="1">
      <c r="A315" s="706" t="s">
        <v>1148</v>
      </c>
      <c r="B315" s="706">
        <v>2025</v>
      </c>
      <c r="C315" s="706" t="s">
        <v>1799</v>
      </c>
      <c r="D315" s="706" t="s">
        <v>1800</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G20300</v>
      </c>
      <c r="AK315" s="905" t="str">
        <f t="shared" si="25"/>
        <v>COMPTE U.S. BANQUE TD</v>
      </c>
      <c r="AL315" s="905">
        <f>IFERROR(INDEX(G315:R315,1,MATCH(Parametres!$B$3,G$1:R$1,0)-1)*IF(OR(F315="L",F315="S",F315="I"),-1,1),"")</f>
        <v>956.15</v>
      </c>
      <c r="AM315" s="905">
        <f t="shared" si="26"/>
        <v>0</v>
      </c>
      <c r="AN315" s="905">
        <f>INDEX(G315:R315,1,MATCH(Parametres!$B$3,G$1:R$1,0))*IF(OR(F315="L",F315="S",F315="I"),-1,1)</f>
        <v>956.15</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27"/>
        <v>G20300</v>
      </c>
      <c r="AU315" s="488" t="str">
        <f t="shared" si="28"/>
        <v>COMPTE U.S. BANQUE TD</v>
      </c>
      <c r="AV315" s="899">
        <f>IFERROR(INDEX(V315:AG315,1,MATCH(Parametres!$B$3,V$1:AG$1,0)-1)*IF(OR(C315="L",C315="S",C315="I"),-1,1),"")</f>
        <v>0</v>
      </c>
      <c r="AW315" s="899">
        <f t="shared" si="29"/>
        <v>0</v>
      </c>
      <c r="AX315" s="899">
        <f>INDEX(V315:AG315,1,MATCH(Parametres!$B$3,V$1:AG$1,0))*IF(OR(C315="L",C315="S",C315="I"),-1,1)</f>
        <v>0</v>
      </c>
      <c r="AY315" s="487" t="s">
        <v>337</v>
      </c>
      <c r="AZ315" s="487">
        <f>+VLOOKUP($AJ315,Data_Validation!$A:$E,5,0)</f>
        <v>0</v>
      </c>
    </row>
    <row r="316" spans="1:52" ht="15" hidden="1" customHeight="1">
      <c r="A316" s="706" t="s">
        <v>1148</v>
      </c>
      <c r="B316" s="706">
        <v>2025</v>
      </c>
      <c r="C316" s="706" t="s">
        <v>1801</v>
      </c>
      <c r="D316" s="706" t="s">
        <v>1802</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G20301</v>
      </c>
      <c r="AK316" s="905" t="str">
        <f t="shared" si="25"/>
        <v>CONVERTION COMPTE U.S.</v>
      </c>
      <c r="AL316" s="905">
        <f>IFERROR(INDEX(G316:R316,1,MATCH(Parametres!$B$3,G$1:R$1,0)-1)*IF(OR(F316="L",F316="S",F316="I"),-1,1),"")</f>
        <v>0</v>
      </c>
      <c r="AM316" s="905">
        <f t="shared" si="26"/>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27"/>
        <v>G20301</v>
      </c>
      <c r="AU316" s="488" t="str">
        <f t="shared" si="28"/>
        <v>CONVERTION COMPTE U.S.</v>
      </c>
      <c r="AV316" s="899">
        <f>IFERROR(INDEX(V316:AG316,1,MATCH(Parametres!$B$3,V$1:AG$1,0)-1)*IF(OR(C316="L",C316="S",C316="I"),-1,1),"")</f>
        <v>0</v>
      </c>
      <c r="AW316" s="899">
        <f t="shared" si="29"/>
        <v>0</v>
      </c>
      <c r="AX316" s="899">
        <f>INDEX(V316:AG316,1,MATCH(Parametres!$B$3,V$1:AG$1,0))*IF(OR(C316="L",C316="S",C316="I"),-1,1)</f>
        <v>0</v>
      </c>
      <c r="AY316" s="487" t="s">
        <v>337</v>
      </c>
      <c r="AZ316" s="487" t="e">
        <f>+VLOOKUP($AJ316,Data_Validation!$A:$E,5,0)</f>
        <v>#N/A</v>
      </c>
    </row>
    <row r="317" spans="1:52" ht="15" hidden="1" customHeight="1">
      <c r="A317" s="706" t="s">
        <v>1148</v>
      </c>
      <c r="B317" s="706">
        <v>2025</v>
      </c>
      <c r="C317" s="706" t="s">
        <v>1803</v>
      </c>
      <c r="D317" s="706" t="s">
        <v>1804</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G20400</v>
      </c>
      <c r="AK317" s="905" t="str">
        <f t="shared" si="25"/>
        <v>AVANTAGE ENTREPRISE E.T.</v>
      </c>
      <c r="AL317" s="905">
        <f>IFERROR(INDEX(G317:R317,1,MATCH(Parametres!$B$3,G$1:R$1,0)-1)*IF(OR(F317="L",F317="S",F317="I"),-1,1),"")</f>
        <v>0</v>
      </c>
      <c r="AM317" s="905">
        <f t="shared" si="26"/>
        <v>0</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27"/>
        <v>G20400</v>
      </c>
      <c r="AU317" s="488" t="str">
        <f t="shared" si="28"/>
        <v>AVANTAGE ENTREPRISE E.T.</v>
      </c>
      <c r="AV317" s="899">
        <f>IFERROR(INDEX(V317:AG317,1,MATCH(Parametres!$B$3,V$1:AG$1,0)-1)*IF(OR(C317="L",C317="S",C317="I"),-1,1),"")</f>
        <v>0</v>
      </c>
      <c r="AW317" s="899">
        <f t="shared" si="29"/>
        <v>0</v>
      </c>
      <c r="AX317" s="899">
        <f>INDEX(V317:AG317,1,MATCH(Parametres!$B$3,V$1:AG$1,0))*IF(OR(C317="L",C317="S",C317="I"),-1,1)</f>
        <v>0</v>
      </c>
      <c r="AY317" s="487" t="s">
        <v>337</v>
      </c>
      <c r="AZ317" s="487">
        <f>+VLOOKUP($AJ317,Data_Validation!$A:$E,5,0)</f>
        <v>0</v>
      </c>
    </row>
    <row r="318" spans="1:52" ht="15.75" hidden="1" customHeight="1">
      <c r="A318" s="706" t="s">
        <v>1148</v>
      </c>
      <c r="B318" s="706">
        <v>2025</v>
      </c>
      <c r="C318" s="706" t="s">
        <v>1805</v>
      </c>
      <c r="D318" s="706" t="s">
        <v>1806</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G20500</v>
      </c>
      <c r="AK318" s="905" t="str">
        <f t="shared" si="25"/>
        <v>CONTRATS FINANCE A/R GM</v>
      </c>
      <c r="AL318" s="905">
        <f>IFERROR(INDEX(G318:R318,1,MATCH(Parametres!$B$3,G$1:R$1,0)-1)*IF(OR(F318="L",F318="S",F318="I"),-1,1),"")</f>
        <v>725365.67</v>
      </c>
      <c r="AM318" s="905">
        <f t="shared" si="26"/>
        <v>-48740.780000000028</v>
      </c>
      <c r="AN318" s="905">
        <f>INDEX(G318:R318,1,MATCH(Parametres!$B$3,G$1:R$1,0))*IF(OR(F318="L",F318="S",F318="I"),-1,1)</f>
        <v>676624.89</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27"/>
        <v>G20500</v>
      </c>
      <c r="AU318" s="488" t="str">
        <f t="shared" si="28"/>
        <v>CONTRATS FINANCE A/R GM</v>
      </c>
      <c r="AV318" s="899">
        <f>IFERROR(INDEX(V318:AG318,1,MATCH(Parametres!$B$3,V$1:AG$1,0)-1)*IF(OR(C318="L",C318="S",C318="I"),-1,1),"")</f>
        <v>0</v>
      </c>
      <c r="AW318" s="899">
        <f t="shared" si="29"/>
        <v>0</v>
      </c>
      <c r="AX318" s="899">
        <f>INDEX(V318:AG318,1,MATCH(Parametres!$B$3,V$1:AG$1,0))*IF(OR(C318="L",C318="S",C318="I"),-1,1)</f>
        <v>0</v>
      </c>
      <c r="AY318" s="487" t="s">
        <v>337</v>
      </c>
      <c r="AZ318" s="487">
        <f>+VLOOKUP($AJ318,Data_Validation!$A:$E,5,0)</f>
        <v>0</v>
      </c>
    </row>
    <row r="319" spans="1:52" ht="15" hidden="1" customHeight="1">
      <c r="A319" s="706" t="s">
        <v>1148</v>
      </c>
      <c r="B319" s="706">
        <v>2025</v>
      </c>
      <c r="C319" s="706" t="s">
        <v>1807</v>
      </c>
      <c r="D319" s="706" t="s">
        <v>1808</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G20998</v>
      </c>
      <c r="AK319" s="905" t="str">
        <f t="shared" si="25"/>
        <v>DEDUCTIBLE</v>
      </c>
      <c r="AL319" s="905">
        <f>IFERROR(INDEX(G319:R319,1,MATCH(Parametres!$B$3,G$1:R$1,0)-1)*IF(OR(F319="L",F319="S",F319="I"),-1,1),"")</f>
        <v>0</v>
      </c>
      <c r="AM319" s="905">
        <f t="shared" si="26"/>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27"/>
        <v>G20998</v>
      </c>
      <c r="AU319" s="488" t="str">
        <f t="shared" si="28"/>
        <v>DEDUCTIBLE</v>
      </c>
      <c r="AV319" s="899">
        <f>IFERROR(INDEX(V319:AG319,1,MATCH(Parametres!$B$3,V$1:AG$1,0)-1)*IF(OR(C319="L",C319="S",C319="I"),-1,1),"")</f>
        <v>0</v>
      </c>
      <c r="AW319" s="899">
        <f t="shared" si="29"/>
        <v>0</v>
      </c>
      <c r="AX319" s="899">
        <f>INDEX(V319:AG319,1,MATCH(Parametres!$B$3,V$1:AG$1,0))*IF(OR(C319="L",C319="S",C319="I"),-1,1)</f>
        <v>0</v>
      </c>
      <c r="AY319" s="487" t="s">
        <v>337</v>
      </c>
      <c r="AZ319" s="487" t="e">
        <f>+VLOOKUP($AJ319,Data_Validation!$A:$E,5,0)</f>
        <v>#N/A</v>
      </c>
    </row>
    <row r="320" spans="1:52" ht="15" hidden="1" customHeight="1">
      <c r="A320" s="706" t="s">
        <v>1148</v>
      </c>
      <c r="B320" s="706">
        <v>2025</v>
      </c>
      <c r="C320" s="706" t="s">
        <v>1809</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G20999</v>
      </c>
      <c r="AK320" s="905" t="str">
        <f t="shared" si="25"/>
        <v>DOCUMENTS CANCELLES</v>
      </c>
      <c r="AL320" s="905">
        <f>IFERROR(INDEX(G320:R320,1,MATCH(Parametres!$B$3,G$1:R$1,0)-1)*IF(OR(F320="L",F320="S",F320="I"),-1,1),"")</f>
        <v>0</v>
      </c>
      <c r="AM320" s="905">
        <f t="shared" si="26"/>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27"/>
        <v>G20999</v>
      </c>
      <c r="AU320" s="488" t="str">
        <f t="shared" si="28"/>
        <v>DOCUMENTS CANCELLES</v>
      </c>
      <c r="AV320" s="899">
        <f>IFERROR(INDEX(V320:AG320,1,MATCH(Parametres!$B$3,V$1:AG$1,0)-1)*IF(OR(C320="L",C320="S",C320="I"),-1,1),"")</f>
        <v>0</v>
      </c>
      <c r="AW320" s="899">
        <f t="shared" si="29"/>
        <v>0</v>
      </c>
      <c r="AX320" s="899">
        <f>INDEX(V320:AG320,1,MATCH(Parametres!$B$3,V$1:AG$1,0))*IF(OR(C320="L",C320="S",C320="I"),-1,1)</f>
        <v>0</v>
      </c>
      <c r="AY320" s="487" t="s">
        <v>337</v>
      </c>
      <c r="AZ320" s="487" t="e">
        <f>+VLOOKUP($AJ320,Data_Validation!$A:$E,5,0)</f>
        <v>#N/A</v>
      </c>
    </row>
    <row r="321" spans="1:52" ht="15" hidden="1" customHeight="1">
      <c r="A321" s="706" t="s">
        <v>1148</v>
      </c>
      <c r="B321" s="706">
        <v>2025</v>
      </c>
      <c r="C321" s="706" t="s">
        <v>1810</v>
      </c>
      <c r="D321" s="706" t="s">
        <v>1811</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G220IMM</v>
      </c>
      <c r="AK321" s="905" t="str">
        <f t="shared" si="25"/>
        <v>IMMATRICULATION-VEHICULE</v>
      </c>
      <c r="AL321" s="905">
        <f>IFERROR(INDEX(G321:R321,1,MATCH(Parametres!$B$3,G$1:R$1,0)-1)*IF(OR(F321="L",F321="S",F321="I"),-1,1),"")</f>
        <v>886.15</v>
      </c>
      <c r="AM321" s="905">
        <f t="shared" si="26"/>
        <v>-35782.65</v>
      </c>
      <c r="AN321" s="905">
        <f>INDEX(G321:R321,1,MATCH(Parametres!$B$3,G$1:R$1,0))*IF(OR(F321="L",F321="S",F321="I"),-1,1)</f>
        <v>-34896.5</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27"/>
        <v>G220IMM</v>
      </c>
      <c r="AU321" s="488" t="str">
        <f t="shared" si="28"/>
        <v>IMMATRICULATION-VEHICULE</v>
      </c>
      <c r="AV321" s="899">
        <f>IFERROR(INDEX(V321:AG321,1,MATCH(Parametres!$B$3,V$1:AG$1,0)-1)*IF(OR(C321="L",C321="S",C321="I"),-1,1),"")</f>
        <v>0</v>
      </c>
      <c r="AW321" s="899">
        <f t="shared" si="29"/>
        <v>0</v>
      </c>
      <c r="AX321" s="899">
        <f>INDEX(V321:AG321,1,MATCH(Parametres!$B$3,V$1:AG$1,0))*IF(OR(C321="L",C321="S",C321="I"),-1,1)</f>
        <v>0</v>
      </c>
      <c r="AY321" s="487" t="s">
        <v>337</v>
      </c>
      <c r="AZ321" s="487">
        <f>+VLOOKUP($AJ321,Data_Validation!$A:$E,5,0)</f>
        <v>0</v>
      </c>
    </row>
    <row r="322" spans="1:52" ht="15.75" hidden="1" customHeight="1">
      <c r="A322" s="706" t="s">
        <v>1148</v>
      </c>
      <c r="B322" s="706">
        <v>2025</v>
      </c>
      <c r="C322" s="706" t="s">
        <v>1812</v>
      </c>
      <c r="D322" s="706" t="s">
        <v>1813</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G2200D</v>
      </c>
      <c r="AK322" s="905" t="str">
        <f t="shared" si="25"/>
        <v>DEPOT - CLIENT PCES &amp; SRV</v>
      </c>
      <c r="AL322" s="905">
        <f>IFERROR(INDEX(G322:R322,1,MATCH(Parametres!$B$3,G$1:R$1,0)-1)*IF(OR(F322="L",F322="S",F322="I"),-1,1),"")</f>
        <v>0</v>
      </c>
      <c r="AM322" s="905">
        <f t="shared" si="26"/>
        <v>0</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27"/>
        <v>G2200D</v>
      </c>
      <c r="AU322" s="488" t="str">
        <f t="shared" si="28"/>
        <v>DEPOT - CLIENT PCES &amp; SRV</v>
      </c>
      <c r="AV322" s="899">
        <f>IFERROR(INDEX(V322:AG322,1,MATCH(Parametres!$B$3,V$1:AG$1,0)-1)*IF(OR(C322="L",C322="S",C322="I"),-1,1),"")</f>
        <v>0</v>
      </c>
      <c r="AW322" s="899">
        <f t="shared" si="29"/>
        <v>0</v>
      </c>
      <c r="AX322" s="899">
        <f>INDEX(V322:AG322,1,MATCH(Parametres!$B$3,V$1:AG$1,0))*IF(OR(C322="L",C322="S",C322="I"),-1,1)</f>
        <v>0</v>
      </c>
      <c r="AY322" s="487" t="s">
        <v>337</v>
      </c>
      <c r="AZ322" s="487">
        <f>+VLOOKUP($AJ322,Data_Validation!$A:$E,5,0)</f>
        <v>0</v>
      </c>
    </row>
    <row r="323" spans="1:52" ht="15" hidden="1" customHeight="1">
      <c r="A323" s="706" t="s">
        <v>1148</v>
      </c>
      <c r="B323" s="706">
        <v>2025</v>
      </c>
      <c r="C323" s="706" t="s">
        <v>1814</v>
      </c>
      <c r="D323" s="706" t="s">
        <v>1815</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G22000</v>
      </c>
      <c r="AK323" s="905" t="str">
        <f t="shared" si="25"/>
        <v>COMPTES A REC.-PCE SERV.</v>
      </c>
      <c r="AL323" s="905">
        <f>IFERROR(INDEX(G323:R323,1,MATCH(Parametres!$B$3,G$1:R$1,0)-1)*IF(OR(F323="L",F323="S",F323="I"),-1,1),"")</f>
        <v>650157.69999999995</v>
      </c>
      <c r="AM323" s="905">
        <f t="shared" si="26"/>
        <v>-1801.4099999999162</v>
      </c>
      <c r="AN323" s="905">
        <f>INDEX(G323:R323,1,MATCH(Parametres!$B$3,G$1:R$1,0))*IF(OR(F323="L",F323="S",F323="I"),-1,1)</f>
        <v>648356.29</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27"/>
        <v>G22000</v>
      </c>
      <c r="AU323" s="488" t="str">
        <f t="shared" si="28"/>
        <v>COMPTES A REC.-PCE SERV.</v>
      </c>
      <c r="AV323" s="899">
        <f>IFERROR(INDEX(V323:AG323,1,MATCH(Parametres!$B$3,V$1:AG$1,0)-1)*IF(OR(C323="L",C323="S",C323="I"),-1,1),"")</f>
        <v>0</v>
      </c>
      <c r="AW323" s="899">
        <f t="shared" si="29"/>
        <v>0</v>
      </c>
      <c r="AX323" s="899">
        <f>INDEX(V323:AG323,1,MATCH(Parametres!$B$3,V$1:AG$1,0))*IF(OR(C323="L",C323="S",C323="I"),-1,1)</f>
        <v>0</v>
      </c>
      <c r="AY323" s="487" t="s">
        <v>337</v>
      </c>
      <c r="AZ323" s="487">
        <f>+VLOOKUP($AJ323,Data_Validation!$A:$E,5,0)</f>
        <v>0</v>
      </c>
    </row>
    <row r="324" spans="1:52" ht="15" hidden="1" customHeight="1">
      <c r="A324" s="706" t="s">
        <v>1148</v>
      </c>
      <c r="B324" s="706">
        <v>2025</v>
      </c>
      <c r="C324" s="706" t="s">
        <v>1816</v>
      </c>
      <c r="D324" s="706" t="s">
        <v>1817</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G22001</v>
      </c>
      <c r="AK324" s="905" t="str">
        <f t="shared" ref="AK324:AK387" si="31">D324</f>
        <v>COMPTES A REC.-VEHICULE</v>
      </c>
      <c r="AL324" s="905">
        <f>IFERROR(INDEX(G324:R324,1,MATCH(Parametres!$B$3,G$1:R$1,0)-1)*IF(OR(F324="L",F324="S",F324="I"),-1,1),"")</f>
        <v>-4863.95</v>
      </c>
      <c r="AM324" s="905">
        <f t="shared" ref="AM324:AM387" si="32">AN324-AL324</f>
        <v>-12859.55</v>
      </c>
      <c r="AN324" s="905">
        <f>INDEX(G324:R324,1,MATCH(Parametres!$B$3,G$1:R$1,0))*IF(OR(F324="L",F324="S",F324="I"),-1,1)</f>
        <v>-17723.5</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T387" si="33">C324</f>
        <v>G22001</v>
      </c>
      <c r="AU324" s="488" t="str">
        <f t="shared" ref="AU324:AU387" si="34">D324</f>
        <v>COMPTES A REC.-VEHICULE</v>
      </c>
      <c r="AV324" s="899">
        <f>IFERROR(INDEX(V324:AG324,1,MATCH(Parametres!$B$3,V$1:AG$1,0)-1)*IF(OR(C324="L",C324="S",C324="I"),-1,1),"")</f>
        <v>0</v>
      </c>
      <c r="AW324" s="899">
        <f t="shared" ref="AW324:AW387" si="35">AX324-AV324</f>
        <v>0</v>
      </c>
      <c r="AX324" s="899">
        <f>INDEX(V324:AG324,1,MATCH(Parametres!$B$3,V$1:AG$1,0))*IF(OR(C324="L",C324="S",C324="I"),-1,1)</f>
        <v>0</v>
      </c>
      <c r="AY324" s="487" t="s">
        <v>337</v>
      </c>
      <c r="AZ324" s="487">
        <f>+VLOOKUP($AJ324,Data_Validation!$A:$E,5,0)</f>
        <v>0</v>
      </c>
    </row>
    <row r="325" spans="1:52" ht="15" hidden="1" customHeight="1">
      <c r="A325" s="706" t="s">
        <v>1148</v>
      </c>
      <c r="B325" s="706">
        <v>2025</v>
      </c>
      <c r="C325" s="706" t="s">
        <v>1818</v>
      </c>
      <c r="D325" s="706" t="s">
        <v>1819</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G22002</v>
      </c>
      <c r="AK325" s="905" t="str">
        <f t="shared" si="31"/>
        <v>REC CLIENTS CARROSSERIE</v>
      </c>
      <c r="AL325" s="905">
        <f>IFERROR(INDEX(G325:R325,1,MATCH(Parametres!$B$3,G$1:R$1,0)-1)*IF(OR(F325="L",F325="S",F325="I"),-1,1),"")</f>
        <v>62438.080000000002</v>
      </c>
      <c r="AM325" s="905">
        <f t="shared" si="32"/>
        <v>-60362.080000000002</v>
      </c>
      <c r="AN325" s="905">
        <f>INDEX(G325:R325,1,MATCH(Parametres!$B$3,G$1:R$1,0))*IF(OR(F325="L",F325="S",F325="I"),-1,1)</f>
        <v>2076</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33"/>
        <v>G22002</v>
      </c>
      <c r="AU325" s="488" t="str">
        <f t="shared" si="34"/>
        <v>REC CLIENTS CARROSSERIE</v>
      </c>
      <c r="AV325" s="899">
        <f>IFERROR(INDEX(V325:AG325,1,MATCH(Parametres!$B$3,V$1:AG$1,0)-1)*IF(OR(C325="L",C325="S",C325="I"),-1,1),"")</f>
        <v>0</v>
      </c>
      <c r="AW325" s="899">
        <f t="shared" si="35"/>
        <v>0</v>
      </c>
      <c r="AX325" s="899">
        <f>INDEX(V325:AG325,1,MATCH(Parametres!$B$3,V$1:AG$1,0))*IF(OR(C325="L",C325="S",C325="I"),-1,1)</f>
        <v>0</v>
      </c>
      <c r="AY325" s="487" t="s">
        <v>337</v>
      </c>
      <c r="AZ325" s="487">
        <f>+VLOOKUP($AJ325,Data_Validation!$A:$E,5,0)</f>
        <v>0</v>
      </c>
    </row>
    <row r="326" spans="1:52" ht="15" hidden="1" customHeight="1">
      <c r="A326" s="706" t="s">
        <v>1148</v>
      </c>
      <c r="B326" s="706">
        <v>2025</v>
      </c>
      <c r="C326" s="706" t="s">
        <v>1820</v>
      </c>
      <c r="D326" s="706" t="s">
        <v>1821</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G22003</v>
      </c>
      <c r="AK326" s="905" t="str">
        <f t="shared" si="31"/>
        <v>COMPTES A REC.-VENTES</v>
      </c>
      <c r="AL326" s="905">
        <f>IFERROR(INDEX(G326:R326,1,MATCH(Parametres!$B$3,G$1:R$1,0)-1)*IF(OR(F326="L",F326="S",F326="I"),-1,1),"")</f>
        <v>26676.25</v>
      </c>
      <c r="AM326" s="905">
        <f t="shared" si="32"/>
        <v>25434.93</v>
      </c>
      <c r="AN326" s="905">
        <f>INDEX(G326:R326,1,MATCH(Parametres!$B$3,G$1:R$1,0))*IF(OR(F326="L",F326="S",F326="I"),-1,1)</f>
        <v>52111.18</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33"/>
        <v>G22003</v>
      </c>
      <c r="AU326" s="488" t="str">
        <f t="shared" si="34"/>
        <v>COMPTES A REC.-VENTES</v>
      </c>
      <c r="AV326" s="899">
        <f>IFERROR(INDEX(V326:AG326,1,MATCH(Parametres!$B$3,V$1:AG$1,0)-1)*IF(OR(C326="L",C326="S",C326="I"),-1,1),"")</f>
        <v>0</v>
      </c>
      <c r="AW326" s="899">
        <f t="shared" si="35"/>
        <v>0</v>
      </c>
      <c r="AX326" s="899">
        <f>INDEX(V326:AG326,1,MATCH(Parametres!$B$3,V$1:AG$1,0))*IF(OR(C326="L",C326="S",C326="I"),-1,1)</f>
        <v>0</v>
      </c>
      <c r="AY326" s="487" t="s">
        <v>337</v>
      </c>
      <c r="AZ326" s="487">
        <f>+VLOOKUP($AJ326,Data_Validation!$A:$E,5,0)</f>
        <v>0</v>
      </c>
    </row>
    <row r="327" spans="1:52" ht="15.75" hidden="1" customHeight="1">
      <c r="A327" s="706" t="s">
        <v>1148</v>
      </c>
      <c r="B327" s="706">
        <v>2025</v>
      </c>
      <c r="C327" s="706" t="s">
        <v>1822</v>
      </c>
      <c r="D327" s="706" t="s">
        <v>1823</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G22004</v>
      </c>
      <c r="AK327" s="905" t="str">
        <f t="shared" si="31"/>
        <v>T.V.Q. A RECEVOIR</v>
      </c>
      <c r="AL327" s="905">
        <f>IFERROR(INDEX(G327:R327,1,MATCH(Parametres!$B$3,G$1:R$1,0)-1)*IF(OR(F327="L",F327="S",F327="I"),-1,1),"")</f>
        <v>146450.31</v>
      </c>
      <c r="AM327" s="905">
        <f t="shared" si="32"/>
        <v>-39721.239999999991</v>
      </c>
      <c r="AN327" s="905">
        <f>INDEX(G327:R327,1,MATCH(Parametres!$B$3,G$1:R$1,0))*IF(OR(F327="L",F327="S",F327="I"),-1,1)</f>
        <v>106729.07</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33"/>
        <v>G22004</v>
      </c>
      <c r="AU327" s="488" t="str">
        <f t="shared" si="34"/>
        <v>T.V.Q. A RECEVOIR</v>
      </c>
      <c r="AV327" s="899">
        <f>IFERROR(INDEX(V327:AG327,1,MATCH(Parametres!$B$3,V$1:AG$1,0)-1)*IF(OR(C327="L",C327="S",C327="I"),-1,1),"")</f>
        <v>0</v>
      </c>
      <c r="AW327" s="899">
        <f t="shared" si="35"/>
        <v>0</v>
      </c>
      <c r="AX327" s="899">
        <f>INDEX(V327:AG327,1,MATCH(Parametres!$B$3,V$1:AG$1,0))*IF(OR(C327="L",C327="S",C327="I"),-1,1)</f>
        <v>0</v>
      </c>
      <c r="AY327" s="487" t="s">
        <v>337</v>
      </c>
      <c r="AZ327" s="487">
        <f>+VLOOKUP($AJ327,Data_Validation!$A:$E,5,0)</f>
        <v>0</v>
      </c>
    </row>
    <row r="328" spans="1:52" ht="15" hidden="1" customHeight="1">
      <c r="A328" s="706" t="s">
        <v>1148</v>
      </c>
      <c r="B328" s="706">
        <v>2025</v>
      </c>
      <c r="C328" s="706" t="s">
        <v>1824</v>
      </c>
      <c r="D328" s="706" t="s">
        <v>1825</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G22005</v>
      </c>
      <c r="AK328" s="905" t="str">
        <f t="shared" si="31"/>
        <v>T.P.S. A RECEVOIR</v>
      </c>
      <c r="AL328" s="905">
        <f>IFERROR(INDEX(G328:R328,1,MATCH(Parametres!$B$3,G$1:R$1,0)-1)*IF(OR(F328="L",F328="S",F328="I"),-1,1),"")</f>
        <v>1489703.31</v>
      </c>
      <c r="AM328" s="905">
        <f t="shared" si="32"/>
        <v>411446.85999999987</v>
      </c>
      <c r="AN328" s="905">
        <f>INDEX(G328:R328,1,MATCH(Parametres!$B$3,G$1:R$1,0))*IF(OR(F328="L",F328="S",F328="I"),-1,1)</f>
        <v>1901150.17</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33"/>
        <v>G22005</v>
      </c>
      <c r="AU328" s="488" t="str">
        <f t="shared" si="34"/>
        <v>T.P.S. A RECEVOIR</v>
      </c>
      <c r="AV328" s="899">
        <f>IFERROR(INDEX(V328:AG328,1,MATCH(Parametres!$B$3,V$1:AG$1,0)-1)*IF(OR(C328="L",C328="S",C328="I"),-1,1),"")</f>
        <v>0</v>
      </c>
      <c r="AW328" s="899">
        <f t="shared" si="35"/>
        <v>0</v>
      </c>
      <c r="AX328" s="899">
        <f>INDEX(V328:AG328,1,MATCH(Parametres!$B$3,V$1:AG$1,0))*IF(OR(C328="L",C328="S",C328="I"),-1,1)</f>
        <v>0</v>
      </c>
      <c r="AY328" s="487" t="s">
        <v>337</v>
      </c>
      <c r="AZ328" s="487">
        <f>+VLOOKUP($AJ328,Data_Validation!$A:$E,5,0)</f>
        <v>0</v>
      </c>
    </row>
    <row r="329" spans="1:52" ht="15" hidden="1" customHeight="1">
      <c r="A329" s="706" t="s">
        <v>1148</v>
      </c>
      <c r="B329" s="706">
        <v>2025</v>
      </c>
      <c r="C329" s="706" t="s">
        <v>1826</v>
      </c>
      <c r="D329" s="706" t="s">
        <v>1827</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G22006</v>
      </c>
      <c r="AK329" s="905" t="str">
        <f t="shared" si="31"/>
        <v>COMPTES REC - EMPLOYÉ</v>
      </c>
      <c r="AL329" s="905">
        <f>IFERROR(INDEX(G329:R329,1,MATCH(Parametres!$B$3,G$1:R$1,0)-1)*IF(OR(F329="L",F329="S",F329="I"),-1,1),"")</f>
        <v>38947</v>
      </c>
      <c r="AM329" s="905">
        <f t="shared" si="32"/>
        <v>-5230.4000000000015</v>
      </c>
      <c r="AN329" s="905">
        <f>INDEX(G329:R329,1,MATCH(Parametres!$B$3,G$1:R$1,0))*IF(OR(F329="L",F329="S",F329="I"),-1,1)</f>
        <v>33716.6</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33"/>
        <v>G22006</v>
      </c>
      <c r="AU329" s="488" t="str">
        <f t="shared" si="34"/>
        <v>COMPTES REC - EMPLOYÉ</v>
      </c>
      <c r="AV329" s="899">
        <f>IFERROR(INDEX(V329:AG329,1,MATCH(Parametres!$B$3,V$1:AG$1,0)-1)*IF(OR(C329="L",C329="S",C329="I"),-1,1),"")</f>
        <v>0</v>
      </c>
      <c r="AW329" s="899">
        <f t="shared" si="35"/>
        <v>0</v>
      </c>
      <c r="AX329" s="899">
        <f>INDEX(V329:AG329,1,MATCH(Parametres!$B$3,V$1:AG$1,0))*IF(OR(C329="L",C329="S",C329="I"),-1,1)</f>
        <v>0</v>
      </c>
      <c r="AY329" s="487" t="s">
        <v>337</v>
      </c>
      <c r="AZ329" s="487">
        <f>+VLOOKUP($AJ329,Data_Validation!$A:$E,5,0)</f>
        <v>0</v>
      </c>
    </row>
    <row r="330" spans="1:52" ht="15" hidden="1" customHeight="1">
      <c r="A330" s="706" t="s">
        <v>1148</v>
      </c>
      <c r="B330" s="706">
        <v>2025</v>
      </c>
      <c r="C330" s="706" t="s">
        <v>1828</v>
      </c>
      <c r="D330" s="706" t="s">
        <v>1829</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G22008</v>
      </c>
      <c r="AK330" s="905" t="str">
        <f t="shared" si="31"/>
        <v>VENTES WHOLESALE</v>
      </c>
      <c r="AL330" s="905">
        <f>IFERROR(INDEX(G330:R330,1,MATCH(Parametres!$B$3,G$1:R$1,0)-1)*IF(OR(F330="L",F330="S",F330="I"),-1,1),"")</f>
        <v>1583790.5</v>
      </c>
      <c r="AM330" s="905">
        <f t="shared" si="32"/>
        <v>-1190780.1499999999</v>
      </c>
      <c r="AN330" s="905">
        <f>INDEX(G330:R330,1,MATCH(Parametres!$B$3,G$1:R$1,0))*IF(OR(F330="L",F330="S",F330="I"),-1,1)</f>
        <v>393010.35</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33"/>
        <v>G22008</v>
      </c>
      <c r="AU330" s="488" t="str">
        <f t="shared" si="34"/>
        <v>VENTES WHOLESALE</v>
      </c>
      <c r="AV330" s="899">
        <f>IFERROR(INDEX(V330:AG330,1,MATCH(Parametres!$B$3,V$1:AG$1,0)-1)*IF(OR(C330="L",C330="S",C330="I"),-1,1),"")</f>
        <v>0</v>
      </c>
      <c r="AW330" s="899">
        <f t="shared" si="35"/>
        <v>0</v>
      </c>
      <c r="AX330" s="899">
        <f>INDEX(V330:AG330,1,MATCH(Parametres!$B$3,V$1:AG$1,0))*IF(OR(C330="L",C330="S",C330="I"),-1,1)</f>
        <v>0</v>
      </c>
      <c r="AY330" s="487" t="s">
        <v>337</v>
      </c>
      <c r="AZ330" s="487">
        <f>+VLOOKUP($AJ330,Data_Validation!$A:$E,5,0)</f>
        <v>0</v>
      </c>
    </row>
    <row r="331" spans="1:52" ht="15" hidden="1" customHeight="1">
      <c r="A331" s="706" t="s">
        <v>1148</v>
      </c>
      <c r="B331" s="706">
        <v>2025</v>
      </c>
      <c r="C331" s="706" t="s">
        <v>1830</v>
      </c>
      <c r="D331" s="706" t="s">
        <v>1831</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G22009</v>
      </c>
      <c r="AK331" s="905" t="str">
        <f t="shared" si="31"/>
        <v>VENTES FLOTTES</v>
      </c>
      <c r="AL331" s="905">
        <f>IFERROR(INDEX(G331:R331,1,MATCH(Parametres!$B$3,G$1:R$1,0)-1)*IF(OR(F331="L",F331="S",F331="I"),-1,1),"")</f>
        <v>314332.49</v>
      </c>
      <c r="AM331" s="905">
        <f t="shared" si="32"/>
        <v>-381415.9</v>
      </c>
      <c r="AN331" s="905">
        <f>INDEX(G331:R331,1,MATCH(Parametres!$B$3,G$1:R$1,0))*IF(OR(F331="L",F331="S",F331="I"),-1,1)</f>
        <v>-67083.41</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33"/>
        <v>G22009</v>
      </c>
      <c r="AU331" s="488" t="str">
        <f t="shared" si="34"/>
        <v>VENTES FLOTTES</v>
      </c>
      <c r="AV331" s="899">
        <f>IFERROR(INDEX(V331:AG331,1,MATCH(Parametres!$B$3,V$1:AG$1,0)-1)*IF(OR(C331="L",C331="S",C331="I"),-1,1),"")</f>
        <v>0</v>
      </c>
      <c r="AW331" s="899">
        <f t="shared" si="35"/>
        <v>0</v>
      </c>
      <c r="AX331" s="899">
        <f>INDEX(V331:AG331,1,MATCH(Parametres!$B$3,V$1:AG$1,0))*IF(OR(C331="L",C331="S",C331="I"),-1,1)</f>
        <v>0</v>
      </c>
      <c r="AY331" s="487" t="s">
        <v>337</v>
      </c>
      <c r="AZ331" s="487">
        <f>+VLOOKUP($AJ331,Data_Validation!$A:$E,5,0)</f>
        <v>0</v>
      </c>
    </row>
    <row r="332" spans="1:52" ht="15" hidden="1" customHeight="1">
      <c r="A332" s="706" t="s">
        <v>1148</v>
      </c>
      <c r="B332" s="706">
        <v>2025</v>
      </c>
      <c r="C332" s="706" t="s">
        <v>1832</v>
      </c>
      <c r="D332" s="706" t="s">
        <v>1792</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G2201A</v>
      </c>
      <c r="AK332" s="905" t="str">
        <f t="shared" si="31"/>
        <v>BNQ NATIONALE MASTER CARD</v>
      </c>
      <c r="AL332" s="905">
        <f>IFERROR(INDEX(G332:R332,1,MATCH(Parametres!$B$3,G$1:R$1,0)-1)*IF(OR(F332="L",F332="S",F332="I"),-1,1),"")</f>
        <v>0</v>
      </c>
      <c r="AM332" s="905">
        <f t="shared" si="32"/>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33"/>
        <v>G2201A</v>
      </c>
      <c r="AU332" s="488" t="str">
        <f t="shared" si="34"/>
        <v>BNQ NATIONALE MASTER CARD</v>
      </c>
      <c r="AV332" s="899">
        <f>IFERROR(INDEX(V332:AG332,1,MATCH(Parametres!$B$3,V$1:AG$1,0)-1)*IF(OR(C332="L",C332="S",C332="I"),-1,1),"")</f>
        <v>0</v>
      </c>
      <c r="AW332" s="899">
        <f t="shared" si="35"/>
        <v>0</v>
      </c>
      <c r="AX332" s="899">
        <f>INDEX(V332:AG332,1,MATCH(Parametres!$B$3,V$1:AG$1,0))*IF(OR(C332="L",C332="S",C332="I"),-1,1)</f>
        <v>0</v>
      </c>
      <c r="AY332" s="487" t="s">
        <v>337</v>
      </c>
      <c r="AZ332" s="487" t="e">
        <f>+VLOOKUP($AJ332,Data_Validation!$A:$E,5,0)</f>
        <v>#N/A</v>
      </c>
    </row>
    <row r="333" spans="1:52" ht="15.75" hidden="1" customHeight="1">
      <c r="A333" s="706" t="s">
        <v>1148</v>
      </c>
      <c r="B333" s="706">
        <v>2025</v>
      </c>
      <c r="C333" s="706" t="s">
        <v>1833</v>
      </c>
      <c r="D333" s="706" t="s">
        <v>1834</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G22010</v>
      </c>
      <c r="AK333" s="905" t="str">
        <f t="shared" si="31"/>
        <v>VENTES US MANHEIM</v>
      </c>
      <c r="AL333" s="905">
        <f>IFERROR(INDEX(G333:R333,1,MATCH(Parametres!$B$3,G$1:R$1,0)-1)*IF(OR(F333="L",F333="S",F333="I"),-1,1),"")</f>
        <v>-207050.08</v>
      </c>
      <c r="AM333" s="905">
        <f t="shared" si="32"/>
        <v>-274288.86</v>
      </c>
      <c r="AN333" s="905">
        <f>INDEX(G333:R333,1,MATCH(Parametres!$B$3,G$1:R$1,0))*IF(OR(F333="L",F333="S",F333="I"),-1,1)</f>
        <v>-481338.94</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33"/>
        <v>G22010</v>
      </c>
      <c r="AU333" s="488" t="str">
        <f t="shared" si="34"/>
        <v>VENTES US MANHEIM</v>
      </c>
      <c r="AV333" s="899">
        <f>IFERROR(INDEX(V333:AG333,1,MATCH(Parametres!$B$3,V$1:AG$1,0)-1)*IF(OR(C333="L",C333="S",C333="I"),-1,1),"")</f>
        <v>0</v>
      </c>
      <c r="AW333" s="899">
        <f t="shared" si="35"/>
        <v>0</v>
      </c>
      <c r="AX333" s="899">
        <f>INDEX(V333:AG333,1,MATCH(Parametres!$B$3,V$1:AG$1,0))*IF(OR(C333="L",C333="S",C333="I"),-1,1)</f>
        <v>0</v>
      </c>
      <c r="AY333" s="487" t="s">
        <v>337</v>
      </c>
      <c r="AZ333" s="487">
        <f>+VLOOKUP($AJ333,Data_Validation!$A:$E,5,0)</f>
        <v>0</v>
      </c>
    </row>
    <row r="334" spans="1:52" ht="15.75" hidden="1" customHeight="1">
      <c r="A334" s="706" t="s">
        <v>1148</v>
      </c>
      <c r="B334" s="706">
        <v>2025</v>
      </c>
      <c r="C334" s="706" t="s">
        <v>1835</v>
      </c>
      <c r="D334" s="706" t="s">
        <v>1836</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G22011</v>
      </c>
      <c r="AK334" s="905" t="str">
        <f t="shared" si="31"/>
        <v>VENTES EBLOCK</v>
      </c>
      <c r="AL334" s="905">
        <f>IFERROR(INDEX(G334:R334,1,MATCH(Parametres!$B$3,G$1:R$1,0)-1)*IF(OR(F334="L",F334="S",F334="I"),-1,1),"")</f>
        <v>341622.18</v>
      </c>
      <c r="AM334" s="905">
        <f t="shared" si="32"/>
        <v>-188035.88</v>
      </c>
      <c r="AN334" s="905">
        <f>INDEX(G334:R334,1,MATCH(Parametres!$B$3,G$1:R$1,0))*IF(OR(F334="L",F334="S",F334="I"),-1,1)</f>
        <v>153586.29999999999</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33"/>
        <v>G22011</v>
      </c>
      <c r="AU334" s="488" t="str">
        <f t="shared" si="34"/>
        <v>VENTES EBLOCK</v>
      </c>
      <c r="AV334" s="899">
        <f>IFERROR(INDEX(V334:AG334,1,MATCH(Parametres!$B$3,V$1:AG$1,0)-1)*IF(OR(C334="L",C334="S",C334="I"),-1,1),"")</f>
        <v>0</v>
      </c>
      <c r="AW334" s="899">
        <f t="shared" si="35"/>
        <v>0</v>
      </c>
      <c r="AX334" s="899">
        <f>INDEX(V334:AG334,1,MATCH(Parametres!$B$3,V$1:AG$1,0))*IF(OR(C334="L",C334="S",C334="I"),-1,1)</f>
        <v>0</v>
      </c>
      <c r="AY334" s="487" t="s">
        <v>337</v>
      </c>
      <c r="AZ334" s="487">
        <f>+VLOOKUP($AJ334,Data_Validation!$A:$E,5,0)</f>
        <v>0</v>
      </c>
    </row>
    <row r="335" spans="1:52" ht="15" hidden="1" customHeight="1">
      <c r="A335" s="706" t="s">
        <v>1148</v>
      </c>
      <c r="B335" s="706">
        <v>2025</v>
      </c>
      <c r="C335" s="706" t="s">
        <v>1837</v>
      </c>
      <c r="D335" s="706" t="s">
        <v>1838</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G22012</v>
      </c>
      <c r="AK335" s="905" t="str">
        <f t="shared" si="31"/>
        <v>VENTES FOSS NATIONAL LEAS</v>
      </c>
      <c r="AL335" s="905">
        <f>IFERROR(INDEX(G335:R335,1,MATCH(Parametres!$B$3,G$1:R$1,0)-1)*IF(OR(F335="L",F335="S",F335="I"),-1,1),"")</f>
        <v>0</v>
      </c>
      <c r="AM335" s="905">
        <f t="shared" si="32"/>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33"/>
        <v>G22012</v>
      </c>
      <c r="AU335" s="488" t="str">
        <f t="shared" si="34"/>
        <v>VENTES FOSS NATIONAL LEAS</v>
      </c>
      <c r="AV335" s="899">
        <f>IFERROR(INDEX(V335:AG335,1,MATCH(Parametres!$B$3,V$1:AG$1,0)-1)*IF(OR(C335="L",C335="S",C335="I"),-1,1),"")</f>
        <v>0</v>
      </c>
      <c r="AW335" s="899">
        <f t="shared" si="35"/>
        <v>0</v>
      </c>
      <c r="AX335" s="899">
        <f>INDEX(V335:AG335,1,MATCH(Parametres!$B$3,V$1:AG$1,0))*IF(OR(C335="L",C335="S",C335="I"),-1,1)</f>
        <v>0</v>
      </c>
      <c r="AY335" s="487" t="s">
        <v>337</v>
      </c>
      <c r="AZ335" s="487" t="e">
        <f>+VLOOKUP($AJ335,Data_Validation!$A:$E,5,0)</f>
        <v>#N/A</v>
      </c>
    </row>
    <row r="336" spans="1:52" ht="15" hidden="1" customHeight="1">
      <c r="A336" s="706" t="s">
        <v>1148</v>
      </c>
      <c r="B336" s="706">
        <v>2025</v>
      </c>
      <c r="C336" s="706" t="s">
        <v>1839</v>
      </c>
      <c r="D336" s="706" t="s">
        <v>1840</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G22013</v>
      </c>
      <c r="AK336" s="905" t="str">
        <f t="shared" si="31"/>
        <v>VENTES LOCATION SAUVAGEAU</v>
      </c>
      <c r="AL336" s="905">
        <f>IFERROR(INDEX(G336:R336,1,MATCH(Parametres!$B$3,G$1:R$1,0)-1)*IF(OR(F336="L",F336="S",F336="I"),-1,1),"")</f>
        <v>0</v>
      </c>
      <c r="AM336" s="905">
        <f t="shared" si="32"/>
        <v>0</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33"/>
        <v>G22013</v>
      </c>
      <c r="AU336" s="488" t="str">
        <f t="shared" si="34"/>
        <v>VENTES LOCATION SAUVAGEAU</v>
      </c>
      <c r="AV336" s="899">
        <f>IFERROR(INDEX(V336:AG336,1,MATCH(Parametres!$B$3,V$1:AG$1,0)-1)*IF(OR(C336="L",C336="S",C336="I"),-1,1),"")</f>
        <v>0</v>
      </c>
      <c r="AW336" s="899">
        <f t="shared" si="35"/>
        <v>0</v>
      </c>
      <c r="AX336" s="899">
        <f>INDEX(V336:AG336,1,MATCH(Parametres!$B$3,V$1:AG$1,0))*IF(OR(C336="L",C336="S",C336="I"),-1,1)</f>
        <v>0</v>
      </c>
      <c r="AY336" s="487" t="s">
        <v>337</v>
      </c>
      <c r="AZ336" s="487">
        <f>+VLOOKUP($AJ336,Data_Validation!$A:$E,5,0)</f>
        <v>0</v>
      </c>
    </row>
    <row r="337" spans="1:52" ht="15" hidden="1" customHeight="1">
      <c r="A337" s="706" t="s">
        <v>1148</v>
      </c>
      <c r="B337" s="706">
        <v>2025</v>
      </c>
      <c r="C337" s="706" t="s">
        <v>1841</v>
      </c>
      <c r="D337" s="706" t="s">
        <v>1842</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G22014</v>
      </c>
      <c r="AK337" s="905" t="str">
        <f t="shared" si="31"/>
        <v>VENTES JIM PATTISON LEASE</v>
      </c>
      <c r="AL337" s="905">
        <f>IFERROR(INDEX(G337:R337,1,MATCH(Parametres!$B$3,G$1:R$1,0)-1)*IF(OR(F337="L",F337="S",F337="I"),-1,1),"")</f>
        <v>226545.89</v>
      </c>
      <c r="AM337" s="905">
        <f t="shared" si="32"/>
        <v>584057.89</v>
      </c>
      <c r="AN337" s="905">
        <f>INDEX(G337:R337,1,MATCH(Parametres!$B$3,G$1:R$1,0))*IF(OR(F337="L",F337="S",F337="I"),-1,1)</f>
        <v>810603.78</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33"/>
        <v>G22014</v>
      </c>
      <c r="AU337" s="488" t="str">
        <f t="shared" si="34"/>
        <v>VENTES JIM PATTISON LEASE</v>
      </c>
      <c r="AV337" s="899">
        <f>IFERROR(INDEX(V337:AG337,1,MATCH(Parametres!$B$3,V$1:AG$1,0)-1)*IF(OR(C337="L",C337="S",C337="I"),-1,1),"")</f>
        <v>0</v>
      </c>
      <c r="AW337" s="899">
        <f t="shared" si="35"/>
        <v>0</v>
      </c>
      <c r="AX337" s="899">
        <f>INDEX(V337:AG337,1,MATCH(Parametres!$B$3,V$1:AG$1,0))*IF(OR(C337="L",C337="S",C337="I"),-1,1)</f>
        <v>0</v>
      </c>
      <c r="AY337" s="487" t="s">
        <v>337</v>
      </c>
      <c r="AZ337" s="487">
        <f>+VLOOKUP($AJ337,Data_Validation!$A:$E,5,0)</f>
        <v>0</v>
      </c>
    </row>
    <row r="338" spans="1:52" ht="15.75" hidden="1" customHeight="1">
      <c r="A338" s="706" t="s">
        <v>1148</v>
      </c>
      <c r="B338" s="706">
        <v>2025</v>
      </c>
      <c r="C338" s="706" t="s">
        <v>1843</v>
      </c>
      <c r="D338" s="706" t="s">
        <v>1844</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G22015</v>
      </c>
      <c r="AK338" s="905" t="str">
        <f t="shared" si="31"/>
        <v>VENTES 9515-1726 QC</v>
      </c>
      <c r="AL338" s="905">
        <f>IFERROR(INDEX(G338:R338,1,MATCH(Parametres!$B$3,G$1:R$1,0)-1)*IF(OR(F338="L",F338="S",F338="I"),-1,1),"")</f>
        <v>0</v>
      </c>
      <c r="AM338" s="905">
        <f t="shared" si="32"/>
        <v>121375.2</v>
      </c>
      <c r="AN338" s="905">
        <f>INDEX(G338:R338,1,MATCH(Parametres!$B$3,G$1:R$1,0))*IF(OR(F338="L",F338="S",F338="I"),-1,1)</f>
        <v>121375.2</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33"/>
        <v>G22015</v>
      </c>
      <c r="AU338" s="488" t="str">
        <f t="shared" si="34"/>
        <v>VENTES 9515-1726 QC</v>
      </c>
      <c r="AV338" s="899">
        <f>IFERROR(INDEX(V338:AG338,1,MATCH(Parametres!$B$3,V$1:AG$1,0)-1)*IF(OR(C338="L",C338="S",C338="I"),-1,1),"")</f>
        <v>0</v>
      </c>
      <c r="AW338" s="899">
        <f t="shared" si="35"/>
        <v>0</v>
      </c>
      <c r="AX338" s="899">
        <f>INDEX(V338:AG338,1,MATCH(Parametres!$B$3,V$1:AG$1,0))*IF(OR(C338="L",C338="S",C338="I"),-1,1)</f>
        <v>0</v>
      </c>
      <c r="AY338" s="487" t="s">
        <v>337</v>
      </c>
      <c r="AZ338" s="487">
        <f>+VLOOKUP($AJ338,Data_Validation!$A:$E,5,0)</f>
        <v>0</v>
      </c>
    </row>
    <row r="339" spans="1:52" ht="15" hidden="1" customHeight="1">
      <c r="A339" s="706" t="s">
        <v>1148</v>
      </c>
      <c r="B339" s="706">
        <v>2025</v>
      </c>
      <c r="C339" s="706" t="s">
        <v>1845</v>
      </c>
      <c r="D339" s="706" t="s">
        <v>1846</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G22016</v>
      </c>
      <c r="AK339" s="905" t="str">
        <f t="shared" si="31"/>
        <v>9482-3176 QUEBEC INC</v>
      </c>
      <c r="AL339" s="905">
        <f>IFERROR(INDEX(G339:R339,1,MATCH(Parametres!$B$3,G$1:R$1,0)-1)*IF(OR(F339="L",F339="S",F339="I"),-1,1),"")</f>
        <v>0</v>
      </c>
      <c r="AM339" s="905">
        <f t="shared" si="32"/>
        <v>-2060091.44</v>
      </c>
      <c r="AN339" s="905">
        <f>INDEX(G339:R339,1,MATCH(Parametres!$B$3,G$1:R$1,0))*IF(OR(F339="L",F339="S",F339="I"),-1,1)</f>
        <v>-2060091.44</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33"/>
        <v>G22016</v>
      </c>
      <c r="AU339" s="488" t="str">
        <f t="shared" si="34"/>
        <v>9482-3176 QUEBEC INC</v>
      </c>
      <c r="AV339" s="899">
        <f>IFERROR(INDEX(V339:AG339,1,MATCH(Parametres!$B$3,V$1:AG$1,0)-1)*IF(OR(C339="L",C339="S",C339="I"),-1,1),"")</f>
        <v>0</v>
      </c>
      <c r="AW339" s="899">
        <f t="shared" si="35"/>
        <v>0</v>
      </c>
      <c r="AX339" s="899">
        <f>INDEX(V339:AG339,1,MATCH(Parametres!$B$3,V$1:AG$1,0))*IF(OR(C339="L",C339="S",C339="I"),-1,1)</f>
        <v>0</v>
      </c>
      <c r="AY339" s="487" t="s">
        <v>337</v>
      </c>
      <c r="AZ339" s="487">
        <f>+VLOOKUP($AJ339,Data_Validation!$A:$E,5,0)</f>
        <v>0</v>
      </c>
    </row>
    <row r="340" spans="1:52" ht="15" hidden="1" customHeight="1">
      <c r="A340" s="706" t="s">
        <v>1148</v>
      </c>
      <c r="B340" s="706">
        <v>2025</v>
      </c>
      <c r="C340" s="706" t="s">
        <v>1847</v>
      </c>
      <c r="D340" s="706" t="s">
        <v>1848</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G22017</v>
      </c>
      <c r="AK340" s="905" t="str">
        <f t="shared" si="31"/>
        <v>VENTES EMKAY INC</v>
      </c>
      <c r="AL340" s="905">
        <f>IFERROR(INDEX(G340:R340,1,MATCH(Parametres!$B$3,G$1:R$1,0)-1)*IF(OR(F340="L",F340="S",F340="I"),-1,1),"")</f>
        <v>0</v>
      </c>
      <c r="AM340" s="905">
        <f t="shared" si="32"/>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G22017</v>
      </c>
      <c r="AU340" s="488" t="str">
        <f t="shared" si="34"/>
        <v>VENTES EMKAY INC</v>
      </c>
      <c r="AV340" s="899">
        <f>IFERROR(INDEX(V340:AG340,1,MATCH(Parametres!$B$3,V$1:AG$1,0)-1)*IF(OR(C340="L",C340="S",C340="I"),-1,1),"")</f>
        <v>0</v>
      </c>
      <c r="AW340" s="899">
        <f t="shared" si="35"/>
        <v>0</v>
      </c>
      <c r="AX340" s="899">
        <f>INDEX(V340:AG340,1,MATCH(Parametres!$B$3,V$1:AG$1,0))*IF(OR(C340="L",C340="S",C340="I"),-1,1)</f>
        <v>0</v>
      </c>
      <c r="AY340" s="487" t="s">
        <v>337</v>
      </c>
      <c r="AZ340" s="487" t="e">
        <f>+VLOOKUP($AJ340,Data_Validation!$A:$E,5,0)</f>
        <v>#N/A</v>
      </c>
    </row>
    <row r="341" spans="1:52" ht="15" hidden="1" customHeight="1">
      <c r="A341" s="706" t="s">
        <v>1148</v>
      </c>
      <c r="B341" s="706">
        <v>2025</v>
      </c>
      <c r="C341" s="706" t="s">
        <v>1849</v>
      </c>
      <c r="D341" s="706" t="s">
        <v>1850</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G22020</v>
      </c>
      <c r="AK341" s="905" t="str">
        <f t="shared" si="31"/>
        <v>VENTES STE-MARIE</v>
      </c>
      <c r="AL341" s="905">
        <f>IFERROR(INDEX(G341:R341,1,MATCH(Parametres!$B$3,G$1:R$1,0)-1)*IF(OR(F341="L",F341="S",F341="I"),-1,1),"")</f>
        <v>0</v>
      </c>
      <c r="AM341" s="905">
        <f t="shared" si="32"/>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33"/>
        <v>G22020</v>
      </c>
      <c r="AU341" s="488" t="str">
        <f t="shared" si="34"/>
        <v>VENTES STE-MARIE</v>
      </c>
      <c r="AV341" s="899">
        <f>IFERROR(INDEX(V341:AG341,1,MATCH(Parametres!$B$3,V$1:AG$1,0)-1)*IF(OR(C341="L",C341="S",C341="I"),-1,1),"")</f>
        <v>0</v>
      </c>
      <c r="AW341" s="899">
        <f t="shared" si="35"/>
        <v>0</v>
      </c>
      <c r="AX341" s="899">
        <f>INDEX(V341:AG341,1,MATCH(Parametres!$B$3,V$1:AG$1,0))*IF(OR(C341="L",C341="S",C341="I"),-1,1)</f>
        <v>0</v>
      </c>
      <c r="AY341" s="487" t="s">
        <v>337</v>
      </c>
      <c r="AZ341" s="487" t="e">
        <f>+VLOOKUP($AJ341,Data_Validation!$A:$E,5,0)</f>
        <v>#N/A</v>
      </c>
    </row>
    <row r="342" spans="1:52" ht="15" hidden="1" customHeight="1">
      <c r="A342" s="706" t="s">
        <v>1148</v>
      </c>
      <c r="B342" s="706">
        <v>2025</v>
      </c>
      <c r="C342" s="706" t="s">
        <v>1851</v>
      </c>
      <c r="D342" s="706" t="s">
        <v>1852</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G22030</v>
      </c>
      <c r="AK342" s="905" t="str">
        <f t="shared" si="31"/>
        <v>VENTES HAWKESBURY</v>
      </c>
      <c r="AL342" s="905">
        <f>IFERROR(INDEX(G342:R342,1,MATCH(Parametres!$B$3,G$1:R$1,0)-1)*IF(OR(F342="L",F342="S",F342="I"),-1,1),"")</f>
        <v>0</v>
      </c>
      <c r="AM342" s="905">
        <f t="shared" si="32"/>
        <v>200479.65</v>
      </c>
      <c r="AN342" s="905">
        <f>INDEX(G342:R342,1,MATCH(Parametres!$B$3,G$1:R$1,0))*IF(OR(F342="L",F342="S",F342="I"),-1,1)</f>
        <v>200479.65</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33"/>
        <v>G22030</v>
      </c>
      <c r="AU342" s="488" t="str">
        <f t="shared" si="34"/>
        <v>VENTES HAWKESBURY</v>
      </c>
      <c r="AV342" s="899">
        <f>IFERROR(INDEX(V342:AG342,1,MATCH(Parametres!$B$3,V$1:AG$1,0)-1)*IF(OR(C342="L",C342="S",C342="I"),-1,1),"")</f>
        <v>0</v>
      </c>
      <c r="AW342" s="899">
        <f t="shared" si="35"/>
        <v>0</v>
      </c>
      <c r="AX342" s="899">
        <f>INDEX(V342:AG342,1,MATCH(Parametres!$B$3,V$1:AG$1,0))*IF(OR(C342="L",C342="S",C342="I"),-1,1)</f>
        <v>0</v>
      </c>
      <c r="AY342" s="487" t="s">
        <v>337</v>
      </c>
      <c r="AZ342" s="487">
        <f>+VLOOKUP($AJ342,Data_Validation!$A:$E,5,0)</f>
        <v>0</v>
      </c>
    </row>
    <row r="343" spans="1:52" ht="15.75" hidden="1" customHeight="1">
      <c r="A343" s="706" t="s">
        <v>1148</v>
      </c>
      <c r="B343" s="706">
        <v>2025</v>
      </c>
      <c r="C343" s="706" t="s">
        <v>1853</v>
      </c>
      <c r="D343" s="706" t="s">
        <v>1854</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G22035</v>
      </c>
      <c r="AK343" s="905" t="str">
        <f t="shared" si="31"/>
        <v>INTERCO BMW SHERBROOKE</v>
      </c>
      <c r="AL343" s="905">
        <f>IFERROR(INDEX(G343:R343,1,MATCH(Parametres!$B$3,G$1:R$1,0)-1)*IF(OR(F343="L",F343="S",F343="I"),-1,1),"")</f>
        <v>0</v>
      </c>
      <c r="AM343" s="905">
        <f t="shared" si="32"/>
        <v>0</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33"/>
        <v>G22035</v>
      </c>
      <c r="AU343" s="488" t="str">
        <f t="shared" si="34"/>
        <v>INTERCO BMW SHERBROOKE</v>
      </c>
      <c r="AV343" s="899">
        <f>IFERROR(INDEX(V343:AG343,1,MATCH(Parametres!$B$3,V$1:AG$1,0)-1)*IF(OR(C343="L",C343="S",C343="I"),-1,1),"")</f>
        <v>0</v>
      </c>
      <c r="AW343" s="899">
        <f t="shared" si="35"/>
        <v>0</v>
      </c>
      <c r="AX343" s="899">
        <f>INDEX(V343:AG343,1,MATCH(Parametres!$B$3,V$1:AG$1,0))*IF(OR(C343="L",C343="S",C343="I"),-1,1)</f>
        <v>0</v>
      </c>
      <c r="AY343" s="487" t="s">
        <v>337</v>
      </c>
      <c r="AZ343" s="487">
        <f>+VLOOKUP($AJ343,Data_Validation!$A:$E,5,0)</f>
        <v>0</v>
      </c>
    </row>
    <row r="344" spans="1:52" ht="15" hidden="1" customHeight="1">
      <c r="A344" s="706" t="s">
        <v>1148</v>
      </c>
      <c r="B344" s="706">
        <v>2025</v>
      </c>
      <c r="C344" s="706" t="s">
        <v>1855</v>
      </c>
      <c r="D344" s="706" t="s">
        <v>1856</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G22040</v>
      </c>
      <c r="AK344" s="905" t="str">
        <f t="shared" si="31"/>
        <v>VENTES LOCATION LMB INC</v>
      </c>
      <c r="AL344" s="905">
        <f>IFERROR(INDEX(G344:R344,1,MATCH(Parametres!$B$3,G$1:R$1,0)-1)*IF(OR(F344="L",F344="S",F344="I"),-1,1),"")</f>
        <v>249861.53</v>
      </c>
      <c r="AM344" s="905">
        <f t="shared" si="32"/>
        <v>841277.90999999992</v>
      </c>
      <c r="AN344" s="905">
        <f>INDEX(G344:R344,1,MATCH(Parametres!$B$3,G$1:R$1,0))*IF(OR(F344="L",F344="S",F344="I"),-1,1)</f>
        <v>1091139.44</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33"/>
        <v>G22040</v>
      </c>
      <c r="AU344" s="488" t="str">
        <f t="shared" si="34"/>
        <v>VENTES LOCATION LMB INC</v>
      </c>
      <c r="AV344" s="899">
        <f>IFERROR(INDEX(V344:AG344,1,MATCH(Parametres!$B$3,V$1:AG$1,0)-1)*IF(OR(C344="L",C344="S",C344="I"),-1,1),"")</f>
        <v>0</v>
      </c>
      <c r="AW344" s="899">
        <f t="shared" si="35"/>
        <v>0</v>
      </c>
      <c r="AX344" s="899">
        <f>INDEX(V344:AG344,1,MATCH(Parametres!$B$3,V$1:AG$1,0))*IF(OR(C344="L",C344="S",C344="I"),-1,1)</f>
        <v>0</v>
      </c>
      <c r="AY344" s="487" t="s">
        <v>337</v>
      </c>
      <c r="AZ344" s="487">
        <f>+VLOOKUP($AJ344,Data_Validation!$A:$E,5,0)</f>
        <v>0</v>
      </c>
    </row>
    <row r="345" spans="1:52" ht="15" hidden="1" customHeight="1">
      <c r="A345" s="706" t="s">
        <v>1148</v>
      </c>
      <c r="B345" s="706">
        <v>2025</v>
      </c>
      <c r="C345" s="706" t="s">
        <v>1857</v>
      </c>
      <c r="D345" s="706" t="s">
        <v>1858</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G22045</v>
      </c>
      <c r="AK345" s="905" t="str">
        <f t="shared" si="31"/>
        <v>INTERCO VOLKS BROSSARD</v>
      </c>
      <c r="AL345" s="905">
        <f>IFERROR(INDEX(G345:R345,1,MATCH(Parametres!$B$3,G$1:R$1,0)-1)*IF(OR(F345="L",F345="S",F345="I"),-1,1),"")</f>
        <v>0</v>
      </c>
      <c r="AM345" s="905">
        <f t="shared" si="32"/>
        <v>0</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33"/>
        <v>G22045</v>
      </c>
      <c r="AU345" s="488" t="str">
        <f t="shared" si="34"/>
        <v>INTERCO VOLKS BROSSARD</v>
      </c>
      <c r="AV345" s="899">
        <f>IFERROR(INDEX(V345:AG345,1,MATCH(Parametres!$B$3,V$1:AG$1,0)-1)*IF(OR(C345="L",C345="S",C345="I"),-1,1),"")</f>
        <v>0</v>
      </c>
      <c r="AW345" s="899">
        <f t="shared" si="35"/>
        <v>0</v>
      </c>
      <c r="AX345" s="899">
        <f>INDEX(V345:AG345,1,MATCH(Parametres!$B$3,V$1:AG$1,0))*IF(OR(C345="L",C345="S",C345="I"),-1,1)</f>
        <v>0</v>
      </c>
      <c r="AY345" s="487" t="s">
        <v>337</v>
      </c>
      <c r="AZ345" s="487">
        <f>+VLOOKUP($AJ345,Data_Validation!$A:$E,5,0)</f>
        <v>0</v>
      </c>
    </row>
    <row r="346" spans="1:52" ht="15" hidden="1" customHeight="1">
      <c r="A346" s="706" t="s">
        <v>1148</v>
      </c>
      <c r="B346" s="706">
        <v>2025</v>
      </c>
      <c r="C346" s="706" t="s">
        <v>1859</v>
      </c>
      <c r="D346" s="706" t="s">
        <v>1860</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G22050</v>
      </c>
      <c r="AK346" s="905" t="str">
        <f t="shared" si="31"/>
        <v>VENTES HYUNDAI ST-CONSTAN</v>
      </c>
      <c r="AL346" s="905">
        <f>IFERROR(INDEX(G346:R346,1,MATCH(Parametres!$B$3,G$1:R$1,0)-1)*IF(OR(F346="L",F346="S",F346="I"),-1,1),"")</f>
        <v>0</v>
      </c>
      <c r="AM346" s="905">
        <f t="shared" si="32"/>
        <v>0</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33"/>
        <v>G22050</v>
      </c>
      <c r="AU346" s="488" t="str">
        <f t="shared" si="34"/>
        <v>VENTES HYUNDAI ST-CONSTAN</v>
      </c>
      <c r="AV346" s="899">
        <f>IFERROR(INDEX(V346:AG346,1,MATCH(Parametres!$B$3,V$1:AG$1,0)-1)*IF(OR(C346="L",C346="S",C346="I"),-1,1),"")</f>
        <v>0</v>
      </c>
      <c r="AW346" s="899">
        <f t="shared" si="35"/>
        <v>0</v>
      </c>
      <c r="AX346" s="899">
        <f>INDEX(V346:AG346,1,MATCH(Parametres!$B$3,V$1:AG$1,0))*IF(OR(C346="L",C346="S",C346="I"),-1,1)</f>
        <v>0</v>
      </c>
      <c r="AY346" s="487" t="s">
        <v>337</v>
      </c>
      <c r="AZ346" s="487">
        <f>+VLOOKUP($AJ346,Data_Validation!$A:$E,5,0)</f>
        <v>0</v>
      </c>
    </row>
    <row r="347" spans="1:52" ht="15.75" hidden="1" customHeight="1">
      <c r="A347" s="706" t="s">
        <v>1148</v>
      </c>
      <c r="B347" s="706">
        <v>2025</v>
      </c>
      <c r="C347" s="706" t="s">
        <v>1861</v>
      </c>
      <c r="D347" s="706" t="s">
        <v>1862</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G22055</v>
      </c>
      <c r="AK347" s="905" t="str">
        <f t="shared" si="31"/>
        <v>VENTES Y.M. DESMARRAIS</v>
      </c>
      <c r="AL347" s="905">
        <f>IFERROR(INDEX(G347:R347,1,MATCH(Parametres!$B$3,G$1:R$1,0)-1)*IF(OR(F347="L",F347="S",F347="I"),-1,1),"")</f>
        <v>133773.47</v>
      </c>
      <c r="AM347" s="905">
        <f t="shared" si="32"/>
        <v>541186.04</v>
      </c>
      <c r="AN347" s="905">
        <f>INDEX(G347:R347,1,MATCH(Parametres!$B$3,G$1:R$1,0))*IF(OR(F347="L",F347="S",F347="I"),-1,1)</f>
        <v>674959.51</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33"/>
        <v>G22055</v>
      </c>
      <c r="AU347" s="488" t="str">
        <f t="shared" si="34"/>
        <v>VENTES Y.M. DESMARRAIS</v>
      </c>
      <c r="AV347" s="899">
        <f>IFERROR(INDEX(V347:AG347,1,MATCH(Parametres!$B$3,V$1:AG$1,0)-1)*IF(OR(C347="L",C347="S",C347="I"),-1,1),"")</f>
        <v>0</v>
      </c>
      <c r="AW347" s="899">
        <f t="shared" si="35"/>
        <v>0</v>
      </c>
      <c r="AX347" s="899">
        <f>INDEX(V347:AG347,1,MATCH(Parametres!$B$3,V$1:AG$1,0))*IF(OR(C347="L",C347="S",C347="I"),-1,1)</f>
        <v>0</v>
      </c>
      <c r="AY347" s="487" t="s">
        <v>337</v>
      </c>
      <c r="AZ347" s="487">
        <f>+VLOOKUP($AJ347,Data_Validation!$A:$E,5,0)</f>
        <v>0</v>
      </c>
    </row>
    <row r="348" spans="1:52" ht="15" hidden="1" customHeight="1">
      <c r="A348" s="706" t="s">
        <v>1148</v>
      </c>
      <c r="B348" s="706">
        <v>2025</v>
      </c>
      <c r="C348" s="706" t="s">
        <v>1863</v>
      </c>
      <c r="D348" s="706" t="s">
        <v>1864</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G22060</v>
      </c>
      <c r="AK348" s="905" t="str">
        <f t="shared" si="31"/>
        <v>VENTES SIMPLICITÉ</v>
      </c>
      <c r="AL348" s="905">
        <f>IFERROR(INDEX(G348:R348,1,MATCH(Parametres!$B$3,G$1:R$1,0)-1)*IF(OR(F348="L",F348="S",F348="I"),-1,1),"")</f>
        <v>101309.73</v>
      </c>
      <c r="AM348" s="905">
        <f t="shared" si="32"/>
        <v>512322.30000000005</v>
      </c>
      <c r="AN348" s="905">
        <f>INDEX(G348:R348,1,MATCH(Parametres!$B$3,G$1:R$1,0))*IF(OR(F348="L",F348="S",F348="I"),-1,1)</f>
        <v>613632.03</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33"/>
        <v>G22060</v>
      </c>
      <c r="AU348" s="488" t="str">
        <f t="shared" si="34"/>
        <v>VENTES SIMPLICITÉ</v>
      </c>
      <c r="AV348" s="899">
        <f>IFERROR(INDEX(V348:AG348,1,MATCH(Parametres!$B$3,V$1:AG$1,0)-1)*IF(OR(C348="L",C348="S",C348="I"),-1,1),"")</f>
        <v>0</v>
      </c>
      <c r="AW348" s="899">
        <f t="shared" si="35"/>
        <v>0</v>
      </c>
      <c r="AX348" s="899">
        <f>INDEX(V348:AG348,1,MATCH(Parametres!$B$3,V$1:AG$1,0))*IF(OR(C348="L",C348="S",C348="I"),-1,1)</f>
        <v>0</v>
      </c>
      <c r="AY348" s="487" t="s">
        <v>337</v>
      </c>
      <c r="AZ348" s="487">
        <f>+VLOOKUP($AJ348,Data_Validation!$A:$E,5,0)</f>
        <v>0</v>
      </c>
    </row>
    <row r="349" spans="1:52" ht="15" hidden="1" customHeight="1">
      <c r="A349" s="706" t="s">
        <v>1148</v>
      </c>
      <c r="B349" s="706">
        <v>2025</v>
      </c>
      <c r="C349" s="706" t="s">
        <v>1865</v>
      </c>
      <c r="D349" s="706" t="s">
        <v>1866</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G22070</v>
      </c>
      <c r="AK349" s="905" t="str">
        <f t="shared" si="31"/>
        <v>GLOBE ST-CONSTANT</v>
      </c>
      <c r="AL349" s="905">
        <f>IFERROR(INDEX(G349:R349,1,MATCH(Parametres!$B$3,G$1:R$1,0)-1)*IF(OR(F349="L",F349="S",F349="I"),-1,1),"")</f>
        <v>0</v>
      </c>
      <c r="AM349" s="905">
        <f t="shared" si="32"/>
        <v>0</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33"/>
        <v>G22070</v>
      </c>
      <c r="AU349" s="488" t="str">
        <f t="shared" si="34"/>
        <v>GLOBE ST-CONSTANT</v>
      </c>
      <c r="AV349" s="899">
        <f>IFERROR(INDEX(V349:AG349,1,MATCH(Parametres!$B$3,V$1:AG$1,0)-1)*IF(OR(C349="L",C349="S",C349="I"),-1,1),"")</f>
        <v>0</v>
      </c>
      <c r="AW349" s="899">
        <f t="shared" si="35"/>
        <v>0</v>
      </c>
      <c r="AX349" s="899">
        <f>INDEX(V349:AG349,1,MATCH(Parametres!$B$3,V$1:AG$1,0))*IF(OR(C349="L",C349="S",C349="I"),-1,1)</f>
        <v>0</v>
      </c>
      <c r="AY349" s="487" t="s">
        <v>337</v>
      </c>
      <c r="AZ349" s="487">
        <f>+VLOOKUP($AJ349,Data_Validation!$A:$E,5,0)</f>
        <v>0</v>
      </c>
    </row>
    <row r="350" spans="1:52" ht="15" hidden="1" customHeight="1">
      <c r="A350" s="706" t="s">
        <v>1148</v>
      </c>
      <c r="B350" s="706">
        <v>2025</v>
      </c>
      <c r="C350" s="706" t="s">
        <v>1867</v>
      </c>
      <c r="D350" s="706" t="s">
        <v>1868</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G22080</v>
      </c>
      <c r="AK350" s="905" t="str">
        <f t="shared" si="31"/>
        <v>GLOBE MONT-ROYAL</v>
      </c>
      <c r="AL350" s="905">
        <f>IFERROR(INDEX(G350:R350,1,MATCH(Parametres!$B$3,G$1:R$1,0)-1)*IF(OR(F350="L",F350="S",F350="I"),-1,1),"")</f>
        <v>-53807.73</v>
      </c>
      <c r="AM350" s="905">
        <f t="shared" si="32"/>
        <v>55307.73</v>
      </c>
      <c r="AN350" s="905">
        <f>INDEX(G350:R350,1,MATCH(Parametres!$B$3,G$1:R$1,0))*IF(OR(F350="L",F350="S",F350="I"),-1,1)</f>
        <v>1500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33"/>
        <v>G22080</v>
      </c>
      <c r="AU350" s="488" t="str">
        <f t="shared" si="34"/>
        <v>GLOBE MONT-ROYAL</v>
      </c>
      <c r="AV350" s="899">
        <f>IFERROR(INDEX(V350:AG350,1,MATCH(Parametres!$B$3,V$1:AG$1,0)-1)*IF(OR(C350="L",C350="S",C350="I"),-1,1),"")</f>
        <v>0</v>
      </c>
      <c r="AW350" s="899">
        <f t="shared" si="35"/>
        <v>0</v>
      </c>
      <c r="AX350" s="899">
        <f>INDEX(V350:AG350,1,MATCH(Parametres!$B$3,V$1:AG$1,0))*IF(OR(C350="L",C350="S",C350="I"),-1,1)</f>
        <v>0</v>
      </c>
      <c r="AY350" s="487" t="s">
        <v>337</v>
      </c>
      <c r="AZ350" s="487">
        <f>+VLOOKUP($AJ350,Data_Validation!$A:$E,5,0)</f>
        <v>0</v>
      </c>
    </row>
    <row r="351" spans="1:52" ht="15" hidden="1" customHeight="1">
      <c r="A351" s="706" t="s">
        <v>1148</v>
      </c>
      <c r="B351" s="706">
        <v>2025</v>
      </c>
      <c r="C351" s="706" t="s">
        <v>1869</v>
      </c>
      <c r="D351" s="706" t="s">
        <v>1870</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G22090</v>
      </c>
      <c r="AK351" s="905" t="str">
        <f t="shared" si="31"/>
        <v>159191 CANADA INC.</v>
      </c>
      <c r="AL351" s="905">
        <f>IFERROR(INDEX(G351:R351,1,MATCH(Parametres!$B$3,G$1:R$1,0)-1)*IF(OR(F351="L",F351="S",F351="I"),-1,1),"")</f>
        <v>1099393.99</v>
      </c>
      <c r="AM351" s="905">
        <f t="shared" si="32"/>
        <v>121433.55000000005</v>
      </c>
      <c r="AN351" s="905">
        <f>INDEX(G351:R351,1,MATCH(Parametres!$B$3,G$1:R$1,0))*IF(OR(F351="L",F351="S",F351="I"),-1,1)</f>
        <v>1220827.54</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33"/>
        <v>G22090</v>
      </c>
      <c r="AU351" s="488" t="str">
        <f t="shared" si="34"/>
        <v>159191 CANADA INC.</v>
      </c>
      <c r="AV351" s="899">
        <f>IFERROR(INDEX(V351:AG351,1,MATCH(Parametres!$B$3,V$1:AG$1,0)-1)*IF(OR(C351="L",C351="S",C351="I"),-1,1),"")</f>
        <v>0</v>
      </c>
      <c r="AW351" s="899">
        <f t="shared" si="35"/>
        <v>0</v>
      </c>
      <c r="AX351" s="899">
        <f>INDEX(V351:AG351,1,MATCH(Parametres!$B$3,V$1:AG$1,0))*IF(OR(C351="L",C351="S",C351="I"),-1,1)</f>
        <v>0</v>
      </c>
      <c r="AY351" s="487" t="s">
        <v>337</v>
      </c>
      <c r="AZ351" s="487">
        <f>+VLOOKUP($AJ351,Data_Validation!$A:$E,5,0)</f>
        <v>0</v>
      </c>
    </row>
    <row r="352" spans="1:52" ht="15.75" hidden="1" customHeight="1">
      <c r="A352" s="706" t="s">
        <v>1148</v>
      </c>
      <c r="B352" s="706">
        <v>2025</v>
      </c>
      <c r="C352" s="706" t="s">
        <v>1871</v>
      </c>
      <c r="D352" s="706" t="s">
        <v>1872</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G22130</v>
      </c>
      <c r="AK352" s="905" t="str">
        <f t="shared" si="31"/>
        <v>INTERCO HAWKSBURY GM</v>
      </c>
      <c r="AL352" s="905">
        <f>IFERROR(INDEX(G352:R352,1,MATCH(Parametres!$B$3,G$1:R$1,0)-1)*IF(OR(F352="L",F352="S",F352="I"),-1,1),"")</f>
        <v>307363.09999999998</v>
      </c>
      <c r="AM352" s="905">
        <f t="shared" si="32"/>
        <v>176707.5</v>
      </c>
      <c r="AN352" s="905">
        <f>INDEX(G352:R352,1,MATCH(Parametres!$B$3,G$1:R$1,0))*IF(OR(F352="L",F352="S",F352="I"),-1,1)</f>
        <v>484070.6</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33"/>
        <v>G22130</v>
      </c>
      <c r="AU352" s="488" t="str">
        <f t="shared" si="34"/>
        <v>INTERCO HAWKSBURY GM</v>
      </c>
      <c r="AV352" s="899">
        <f>IFERROR(INDEX(V352:AG352,1,MATCH(Parametres!$B$3,V$1:AG$1,0)-1)*IF(OR(C352="L",C352="S",C352="I"),-1,1),"")</f>
        <v>0</v>
      </c>
      <c r="AW352" s="899">
        <f t="shared" si="35"/>
        <v>0</v>
      </c>
      <c r="AX352" s="899">
        <f>INDEX(V352:AG352,1,MATCH(Parametres!$B$3,V$1:AG$1,0))*IF(OR(C352="L",C352="S",C352="I"),-1,1)</f>
        <v>0</v>
      </c>
      <c r="AY352" s="487" t="s">
        <v>337</v>
      </c>
      <c r="AZ352" s="487">
        <f>+VLOOKUP($AJ352,Data_Validation!$A:$E,5,0)</f>
        <v>0</v>
      </c>
    </row>
    <row r="353" spans="1:52" ht="15" hidden="1" customHeight="1">
      <c r="A353" s="706" t="s">
        <v>1148</v>
      </c>
      <c r="B353" s="706">
        <v>2025</v>
      </c>
      <c r="C353" s="706" t="s">
        <v>1873</v>
      </c>
      <c r="D353" s="706" t="s">
        <v>1874</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G22140</v>
      </c>
      <c r="AK353" s="905" t="str">
        <f t="shared" si="31"/>
        <v>INTERCO 13721515 CANADA</v>
      </c>
      <c r="AL353" s="905">
        <f>IFERROR(INDEX(G353:R353,1,MATCH(Parametres!$B$3,G$1:R$1,0)-1)*IF(OR(F353="L",F353="S",F353="I"),-1,1),"")</f>
        <v>500000</v>
      </c>
      <c r="AM353" s="905">
        <f t="shared" si="32"/>
        <v>0</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33"/>
        <v>G22140</v>
      </c>
      <c r="AU353" s="488" t="str">
        <f t="shared" si="34"/>
        <v>INTERCO 13721515 CANADA</v>
      </c>
      <c r="AV353" s="899">
        <f>IFERROR(INDEX(V353:AG353,1,MATCH(Parametres!$B$3,V$1:AG$1,0)-1)*IF(OR(C353="L",C353="S",C353="I"),-1,1),"")</f>
        <v>0</v>
      </c>
      <c r="AW353" s="899">
        <f t="shared" si="35"/>
        <v>0</v>
      </c>
      <c r="AX353" s="899">
        <f>INDEX(V353:AG353,1,MATCH(Parametres!$B$3,V$1:AG$1,0))*IF(OR(C353="L",C353="S",C353="I"),-1,1)</f>
        <v>0</v>
      </c>
      <c r="AY353" s="487" t="s">
        <v>337</v>
      </c>
      <c r="AZ353" s="487">
        <f>+VLOOKUP($AJ353,Data_Validation!$A:$E,5,0)</f>
        <v>0</v>
      </c>
    </row>
    <row r="354" spans="1:52" ht="15" hidden="1" customHeight="1">
      <c r="A354" s="706" t="s">
        <v>1148</v>
      </c>
      <c r="B354" s="706">
        <v>2025</v>
      </c>
      <c r="C354" s="706" t="s">
        <v>1875</v>
      </c>
      <c r="D354" s="706" t="s">
        <v>1876</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G22150</v>
      </c>
      <c r="AK354" s="905" t="str">
        <f t="shared" si="31"/>
        <v>INTERCO HYUNDAI STCONSTAN</v>
      </c>
      <c r="AL354" s="905">
        <f>IFERROR(INDEX(G354:R354,1,MATCH(Parametres!$B$3,G$1:R$1,0)-1)*IF(OR(F354="L",F354="S",F354="I"),-1,1),"")</f>
        <v>26434.91</v>
      </c>
      <c r="AM354" s="905">
        <f t="shared" si="32"/>
        <v>742.38000000000102</v>
      </c>
      <c r="AN354" s="905">
        <f>INDEX(G354:R354,1,MATCH(Parametres!$B$3,G$1:R$1,0))*IF(OR(F354="L",F354="S",F354="I"),-1,1)</f>
        <v>27177.29</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33"/>
        <v>G22150</v>
      </c>
      <c r="AU354" s="488" t="str">
        <f t="shared" si="34"/>
        <v>INTERCO HYUNDAI STCONSTAN</v>
      </c>
      <c r="AV354" s="899">
        <f>IFERROR(INDEX(V354:AG354,1,MATCH(Parametres!$B$3,V$1:AG$1,0)-1)*IF(OR(C354="L",C354="S",C354="I"),-1,1),"")</f>
        <v>0</v>
      </c>
      <c r="AW354" s="899">
        <f t="shared" si="35"/>
        <v>0</v>
      </c>
      <c r="AX354" s="899">
        <f>INDEX(V354:AG354,1,MATCH(Parametres!$B$3,V$1:AG$1,0))*IF(OR(C354="L",C354="S",C354="I"),-1,1)</f>
        <v>0</v>
      </c>
      <c r="AY354" s="487" t="s">
        <v>337</v>
      </c>
      <c r="AZ354" s="487">
        <f>+VLOOKUP($AJ354,Data_Validation!$A:$E,5,0)</f>
        <v>0</v>
      </c>
    </row>
    <row r="355" spans="1:52" ht="15" hidden="1" customHeight="1">
      <c r="A355" s="706" t="s">
        <v>1148</v>
      </c>
      <c r="B355" s="706">
        <v>2025</v>
      </c>
      <c r="C355" s="706" t="s">
        <v>1877</v>
      </c>
      <c r="D355" s="706" t="s">
        <v>1878</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G22160</v>
      </c>
      <c r="AK355" s="905" t="str">
        <f t="shared" si="31"/>
        <v>INTERCO 9446-0680 QC INC</v>
      </c>
      <c r="AL355" s="905">
        <f>IFERROR(INDEX(G355:R355,1,MATCH(Parametres!$B$3,G$1:R$1,0)-1)*IF(OR(F355="L",F355="S",F355="I"),-1,1),"")</f>
        <v>109816.98</v>
      </c>
      <c r="AM355" s="905">
        <f t="shared" si="32"/>
        <v>0</v>
      </c>
      <c r="AN355" s="905">
        <f>INDEX(G355:R355,1,MATCH(Parametres!$B$3,G$1:R$1,0))*IF(OR(F355="L",F355="S",F355="I"),-1,1)</f>
        <v>109816.98</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33"/>
        <v>G22160</v>
      </c>
      <c r="AU355" s="488" t="str">
        <f t="shared" si="34"/>
        <v>INTERCO 9446-0680 QC INC</v>
      </c>
      <c r="AV355" s="899">
        <f>IFERROR(INDEX(V355:AG355,1,MATCH(Parametres!$B$3,V$1:AG$1,0)-1)*IF(OR(C355="L",C355="S",C355="I"),-1,1),"")</f>
        <v>0</v>
      </c>
      <c r="AW355" s="899">
        <f t="shared" si="35"/>
        <v>0</v>
      </c>
      <c r="AX355" s="899">
        <f>INDEX(V355:AG355,1,MATCH(Parametres!$B$3,V$1:AG$1,0))*IF(OR(C355="L",C355="S",C355="I"),-1,1)</f>
        <v>0</v>
      </c>
      <c r="AY355" s="487" t="s">
        <v>337</v>
      </c>
      <c r="AZ355" s="487">
        <f>+VLOOKUP($AJ355,Data_Validation!$A:$E,5,0)</f>
        <v>0</v>
      </c>
    </row>
    <row r="356" spans="1:52" ht="15" hidden="1" customHeight="1">
      <c r="A356" s="706" t="s">
        <v>1148</v>
      </c>
      <c r="B356" s="706">
        <v>2025</v>
      </c>
      <c r="C356" s="706" t="s">
        <v>1879</v>
      </c>
      <c r="D356" s="706" t="s">
        <v>1880</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G22170</v>
      </c>
      <c r="AK356" s="905" t="str">
        <f t="shared" si="31"/>
        <v>INTERCO REMARK.AUTO CANAD</v>
      </c>
      <c r="AL356" s="905">
        <f>IFERROR(INDEX(G356:R356,1,MATCH(Parametres!$B$3,G$1:R$1,0)-1)*IF(OR(F356="L",F356="S",F356="I"),-1,1),"")</f>
        <v>0</v>
      </c>
      <c r="AM356" s="905">
        <f t="shared" si="32"/>
        <v>0</v>
      </c>
      <c r="AN356" s="905">
        <f>INDEX(G356:R356,1,MATCH(Parametres!$B$3,G$1:R$1,0))*IF(OR(F356="L",F356="S",F356="I"),-1,1)</f>
        <v>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33"/>
        <v>G22170</v>
      </c>
      <c r="AU356" s="488" t="str">
        <f t="shared" si="34"/>
        <v>INTERCO REMARK.AUTO CANAD</v>
      </c>
      <c r="AV356" s="899">
        <f>IFERROR(INDEX(V356:AG356,1,MATCH(Parametres!$B$3,V$1:AG$1,0)-1)*IF(OR(C356="L",C356="S",C356="I"),-1,1),"")</f>
        <v>0</v>
      </c>
      <c r="AW356" s="899">
        <f t="shared" si="35"/>
        <v>0</v>
      </c>
      <c r="AX356" s="899">
        <f>INDEX(V356:AG356,1,MATCH(Parametres!$B$3,V$1:AG$1,0))*IF(OR(C356="L",C356="S",C356="I"),-1,1)</f>
        <v>0</v>
      </c>
      <c r="AY356" s="487" t="s">
        <v>337</v>
      </c>
      <c r="AZ356" s="487">
        <f>+VLOOKUP($AJ356,Data_Validation!$A:$E,5,0)</f>
        <v>0</v>
      </c>
    </row>
    <row r="357" spans="1:52" ht="15" hidden="1" customHeight="1">
      <c r="A357" s="706" t="s">
        <v>1148</v>
      </c>
      <c r="B357" s="706">
        <v>2025</v>
      </c>
      <c r="C357" s="706" t="s">
        <v>1881</v>
      </c>
      <c r="D357" s="706" t="s">
        <v>1882</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G22180</v>
      </c>
      <c r="AK357" s="905" t="str">
        <f t="shared" si="31"/>
        <v>INTERCO LOCATION LMB</v>
      </c>
      <c r="AL357" s="905">
        <f>IFERROR(INDEX(G357:R357,1,MATCH(Parametres!$B$3,G$1:R$1,0)-1)*IF(OR(F357="L",F357="S",F357="I"),-1,1),"")</f>
        <v>-41007.11</v>
      </c>
      <c r="AM357" s="905">
        <f t="shared" si="32"/>
        <v>41234.75</v>
      </c>
      <c r="AN357" s="905">
        <f>INDEX(G357:R357,1,MATCH(Parametres!$B$3,G$1:R$1,0))*IF(OR(F357="L",F357="S",F357="I"),-1,1)</f>
        <v>227.64</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33"/>
        <v>G22180</v>
      </c>
      <c r="AU357" s="488" t="str">
        <f t="shared" si="34"/>
        <v>INTERCO LOCATION LMB</v>
      </c>
      <c r="AV357" s="899">
        <f>IFERROR(INDEX(V357:AG357,1,MATCH(Parametres!$B$3,V$1:AG$1,0)-1)*IF(OR(C357="L",C357="S",C357="I"),-1,1),"")</f>
        <v>0</v>
      </c>
      <c r="AW357" s="899">
        <f t="shared" si="35"/>
        <v>0</v>
      </c>
      <c r="AX357" s="899">
        <f>INDEX(V357:AG357,1,MATCH(Parametres!$B$3,V$1:AG$1,0))*IF(OR(C357="L",C357="S",C357="I"),-1,1)</f>
        <v>0</v>
      </c>
      <c r="AY357" s="487" t="s">
        <v>337</v>
      </c>
      <c r="AZ357" s="487">
        <f>+VLOOKUP($AJ357,Data_Validation!$A:$E,5,0)</f>
        <v>0</v>
      </c>
    </row>
    <row r="358" spans="1:52" ht="15.75" hidden="1" customHeight="1">
      <c r="A358" s="706" t="s">
        <v>1148</v>
      </c>
      <c r="B358" s="706">
        <v>2025</v>
      </c>
      <c r="C358" s="706" t="s">
        <v>1883</v>
      </c>
      <c r="D358" s="706" t="s">
        <v>1884</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G22185</v>
      </c>
      <c r="AK358" s="905" t="str">
        <f t="shared" si="31"/>
        <v>AVANCES BMW SHERBROOKE</v>
      </c>
      <c r="AL358" s="905">
        <f>IFERROR(INDEX(G358:R358,1,MATCH(Parametres!$B$3,G$1:R$1,0)-1)*IF(OR(F358="L",F358="S",F358="I"),-1,1),"")</f>
        <v>0</v>
      </c>
      <c r="AM358" s="905">
        <f t="shared" si="32"/>
        <v>0</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33"/>
        <v>G22185</v>
      </c>
      <c r="AU358" s="488" t="str">
        <f t="shared" si="34"/>
        <v>AVANCES BMW SHERBROOKE</v>
      </c>
      <c r="AV358" s="899">
        <f>IFERROR(INDEX(V358:AG358,1,MATCH(Parametres!$B$3,V$1:AG$1,0)-1)*IF(OR(C358="L",C358="S",C358="I"),-1,1),"")</f>
        <v>0</v>
      </c>
      <c r="AW358" s="899">
        <f t="shared" si="35"/>
        <v>0</v>
      </c>
      <c r="AX358" s="899">
        <f>INDEX(V358:AG358,1,MATCH(Parametres!$B$3,V$1:AG$1,0))*IF(OR(C358="L",C358="S",C358="I"),-1,1)</f>
        <v>0</v>
      </c>
      <c r="AY358" s="487" t="s">
        <v>337</v>
      </c>
      <c r="AZ358" s="487">
        <f>+VLOOKUP($AJ358,Data_Validation!$A:$E,5,0)</f>
        <v>0</v>
      </c>
    </row>
    <row r="359" spans="1:52" ht="15" hidden="1" customHeight="1">
      <c r="A359" s="706" t="s">
        <v>1148</v>
      </c>
      <c r="B359" s="706">
        <v>2025</v>
      </c>
      <c r="C359" s="706" t="s">
        <v>1885</v>
      </c>
      <c r="D359" s="706" t="s">
        <v>1886</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G22190</v>
      </c>
      <c r="AK359" s="905" t="str">
        <f t="shared" si="31"/>
        <v>INTERCO 9046-6640 QUEBEC</v>
      </c>
      <c r="AL359" s="905">
        <f>IFERROR(INDEX(G359:R359,1,MATCH(Parametres!$B$3,G$1:R$1,0)-1)*IF(OR(F359="L",F359="S",F359="I"),-1,1),"")</f>
        <v>0</v>
      </c>
      <c r="AM359" s="905">
        <f t="shared" si="32"/>
        <v>0</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33"/>
        <v>G22190</v>
      </c>
      <c r="AU359" s="488" t="str">
        <f t="shared" si="34"/>
        <v>INTERCO 9046-6640 QUEBEC</v>
      </c>
      <c r="AV359" s="899">
        <f>IFERROR(INDEX(V359:AG359,1,MATCH(Parametres!$B$3,V$1:AG$1,0)-1)*IF(OR(C359="L",C359="S",C359="I"),-1,1),"")</f>
        <v>0</v>
      </c>
      <c r="AW359" s="899">
        <f t="shared" si="35"/>
        <v>0</v>
      </c>
      <c r="AX359" s="899">
        <f>INDEX(V359:AG359,1,MATCH(Parametres!$B$3,V$1:AG$1,0))*IF(OR(C359="L",C359="S",C359="I"),-1,1)</f>
        <v>0</v>
      </c>
      <c r="AY359" s="487" t="s">
        <v>337</v>
      </c>
      <c r="AZ359" s="487">
        <f>+VLOOKUP($AJ359,Data_Validation!$A:$E,5,0)</f>
        <v>0</v>
      </c>
    </row>
    <row r="360" spans="1:52" ht="15" hidden="1" customHeight="1">
      <c r="A360" s="706" t="s">
        <v>1148</v>
      </c>
      <c r="B360" s="706">
        <v>2025</v>
      </c>
      <c r="C360" s="706" t="s">
        <v>1887</v>
      </c>
      <c r="D360" s="706" t="s">
        <v>1888</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G22195</v>
      </c>
      <c r="AK360" s="905" t="str">
        <f t="shared" si="31"/>
        <v>INTERCO 9341-5701 QC INC</v>
      </c>
      <c r="AL360" s="905">
        <f>IFERROR(INDEX(G360:R360,1,MATCH(Parametres!$B$3,G$1:R$1,0)-1)*IF(OR(F360="L",F360="S",F360="I"),-1,1),"")</f>
        <v>575000</v>
      </c>
      <c r="AM360" s="905">
        <f t="shared" si="32"/>
        <v>0</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33"/>
        <v>G22195</v>
      </c>
      <c r="AU360" s="488" t="str">
        <f t="shared" si="34"/>
        <v>INTERCO 9341-5701 QC INC</v>
      </c>
      <c r="AV360" s="899">
        <f>IFERROR(INDEX(V360:AG360,1,MATCH(Parametres!$B$3,V$1:AG$1,0)-1)*IF(OR(C360="L",C360="S",C360="I"),-1,1),"")</f>
        <v>0</v>
      </c>
      <c r="AW360" s="899">
        <f t="shared" si="35"/>
        <v>0</v>
      </c>
      <c r="AX360" s="899">
        <f>INDEX(V360:AG360,1,MATCH(Parametres!$B$3,V$1:AG$1,0))*IF(OR(C360="L",C360="S",C360="I"),-1,1)</f>
        <v>0</v>
      </c>
      <c r="AY360" s="487" t="s">
        <v>337</v>
      </c>
      <c r="AZ360" s="487">
        <f>+VLOOKUP($AJ360,Data_Validation!$A:$E,5,0)</f>
        <v>0</v>
      </c>
    </row>
    <row r="361" spans="1:52" ht="15" hidden="1" customHeight="1">
      <c r="A361" s="706" t="s">
        <v>1148</v>
      </c>
      <c r="B361" s="706">
        <v>2025</v>
      </c>
      <c r="C361" s="706" t="s">
        <v>1889</v>
      </c>
      <c r="D361" s="706" t="s">
        <v>1890</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G22200</v>
      </c>
      <c r="AK361" s="905" t="str">
        <f t="shared" si="31"/>
        <v>TPS/CTI/ACHAT/VEHICULE</v>
      </c>
      <c r="AL361" s="905">
        <f>IFERROR(INDEX(G361:R361,1,MATCH(Parametres!$B$3,G$1:R$1,0)-1)*IF(OR(F361="L",F361="S",F361="I"),-1,1),"")</f>
        <v>0</v>
      </c>
      <c r="AM361" s="905">
        <f t="shared" si="32"/>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G22200</v>
      </c>
      <c r="AU361" s="488" t="str">
        <f t="shared" si="34"/>
        <v>TPS/CTI/ACHAT/VEHICULE</v>
      </c>
      <c r="AV361" s="899">
        <f>IFERROR(INDEX(V361:AG361,1,MATCH(Parametres!$B$3,V$1:AG$1,0)-1)*IF(OR(C361="L",C361="S",C361="I"),-1,1),"")</f>
        <v>0</v>
      </c>
      <c r="AW361" s="899">
        <f t="shared" si="35"/>
        <v>0</v>
      </c>
      <c r="AX361" s="899">
        <f>INDEX(V361:AG361,1,MATCH(Parametres!$B$3,V$1:AG$1,0))*IF(OR(C361="L",C361="S",C361="I"),-1,1)</f>
        <v>0</v>
      </c>
      <c r="AY361" s="487" t="s">
        <v>337</v>
      </c>
      <c r="AZ361" s="487" t="e">
        <f>+VLOOKUP($AJ361,Data_Validation!$A:$E,5,0)</f>
        <v>#N/A</v>
      </c>
    </row>
    <row r="362" spans="1:52" ht="15.75" hidden="1" customHeight="1">
      <c r="A362" s="706" t="s">
        <v>1148</v>
      </c>
      <c r="B362" s="706">
        <v>2025</v>
      </c>
      <c r="C362" s="706" t="s">
        <v>1895</v>
      </c>
      <c r="D362" s="706" t="s">
        <v>1896</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G22210</v>
      </c>
      <c r="AK362" s="905" t="str">
        <f t="shared" si="31"/>
        <v>INTERCO 15814251 CANADA</v>
      </c>
      <c r="AL362" s="905">
        <f>IFERROR(INDEX(G362:R362,1,MATCH(Parametres!$B$3,G$1:R$1,0)-1)*IF(OR(F362="L",F362="S",F362="I"),-1,1),"")</f>
        <v>0</v>
      </c>
      <c r="AM362" s="905">
        <f t="shared" si="32"/>
        <v>0</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33"/>
        <v>G22210</v>
      </c>
      <c r="AU362" s="488" t="str">
        <f t="shared" si="34"/>
        <v>INTERCO 15814251 CANADA</v>
      </c>
      <c r="AV362" s="899">
        <f>IFERROR(INDEX(V362:AG362,1,MATCH(Parametres!$B$3,V$1:AG$1,0)-1)*IF(OR(C362="L",C362="S",C362="I"),-1,1),"")</f>
        <v>0</v>
      </c>
      <c r="AW362" s="899">
        <f t="shared" si="35"/>
        <v>0</v>
      </c>
      <c r="AX362" s="899">
        <f>INDEX(V362:AG362,1,MATCH(Parametres!$B$3,V$1:AG$1,0))*IF(OR(C362="L",C362="S",C362="I"),-1,1)</f>
        <v>0</v>
      </c>
      <c r="AY362" s="487" t="s">
        <v>337</v>
      </c>
      <c r="AZ362" s="487">
        <f>+VLOOKUP($AJ362,Data_Validation!$A:$E,5,0)</f>
        <v>0</v>
      </c>
    </row>
    <row r="363" spans="1:52" ht="15.75" hidden="1" customHeight="1">
      <c r="A363" s="706" t="s">
        <v>1148</v>
      </c>
      <c r="B363" s="706">
        <v>2025</v>
      </c>
      <c r="C363" s="706" t="s">
        <v>1897</v>
      </c>
      <c r="D363" s="706" t="s">
        <v>1898</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G22211</v>
      </c>
      <c r="AK363" s="905" t="str">
        <f t="shared" si="31"/>
        <v>INTERCO HYUNDAI LONGUEUIL</v>
      </c>
      <c r="AL363" s="905">
        <f>IFERROR(INDEX(G363:R363,1,MATCH(Parametres!$B$3,G$1:R$1,0)-1)*IF(OR(F363="L",F363="S",F363="I"),-1,1),"")</f>
        <v>5802141.5099999998</v>
      </c>
      <c r="AM363" s="905">
        <f t="shared" si="32"/>
        <v>-2956.4399999994785</v>
      </c>
      <c r="AN363" s="905">
        <f>INDEX(G363:R363,1,MATCH(Parametres!$B$3,G$1:R$1,0))*IF(OR(F363="L",F363="S",F363="I"),-1,1)</f>
        <v>5799185.0700000003</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33"/>
        <v>G22211</v>
      </c>
      <c r="AU363" s="488" t="str">
        <f t="shared" si="34"/>
        <v>INTERCO HYUNDAI LONGUEUIL</v>
      </c>
      <c r="AV363" s="899">
        <f>IFERROR(INDEX(V363:AG363,1,MATCH(Parametres!$B$3,V$1:AG$1,0)-1)*IF(OR(C363="L",C363="S",C363="I"),-1,1),"")</f>
        <v>0</v>
      </c>
      <c r="AW363" s="899">
        <f t="shared" si="35"/>
        <v>0</v>
      </c>
      <c r="AX363" s="899">
        <f>INDEX(V363:AG363,1,MATCH(Parametres!$B$3,V$1:AG$1,0))*IF(OR(C363="L",C363="S",C363="I"),-1,1)</f>
        <v>0</v>
      </c>
      <c r="AY363" s="487" t="s">
        <v>337</v>
      </c>
      <c r="AZ363" s="487">
        <f>+VLOOKUP($AJ363,Data_Validation!$A:$E,5,0)</f>
        <v>0</v>
      </c>
    </row>
    <row r="364" spans="1:52" ht="15" hidden="1" customHeight="1">
      <c r="A364" s="706" t="s">
        <v>1148</v>
      </c>
      <c r="B364" s="706">
        <v>2025</v>
      </c>
      <c r="C364" s="706" t="s">
        <v>1899</v>
      </c>
      <c r="D364" s="706" t="s">
        <v>1900</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G22212</v>
      </c>
      <c r="AK364" s="905" t="str">
        <f t="shared" si="31"/>
        <v>INTERCO 9510-1309 QC INC</v>
      </c>
      <c r="AL364" s="905">
        <f>IFERROR(INDEX(G364:R364,1,MATCH(Parametres!$B$3,G$1:R$1,0)-1)*IF(OR(F364="L",F364="S",F364="I"),-1,1),"")</f>
        <v>300000</v>
      </c>
      <c r="AM364" s="905">
        <f t="shared" si="32"/>
        <v>0</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33"/>
        <v>G22212</v>
      </c>
      <c r="AU364" s="488" t="str">
        <f t="shared" si="34"/>
        <v>INTERCO 9510-1309 QC INC</v>
      </c>
      <c r="AV364" s="899">
        <f>IFERROR(INDEX(V364:AG364,1,MATCH(Parametres!$B$3,V$1:AG$1,0)-1)*IF(OR(C364="L",C364="S",C364="I"),-1,1),"")</f>
        <v>0</v>
      </c>
      <c r="AW364" s="899">
        <f t="shared" si="35"/>
        <v>0</v>
      </c>
      <c r="AX364" s="899">
        <f>INDEX(V364:AG364,1,MATCH(Parametres!$B$3,V$1:AG$1,0))*IF(OR(C364="L",C364="S",C364="I"),-1,1)</f>
        <v>0</v>
      </c>
      <c r="AY364" s="487" t="s">
        <v>337</v>
      </c>
      <c r="AZ364" s="487">
        <f>+VLOOKUP($AJ364,Data_Validation!$A:$E,5,0)</f>
        <v>0</v>
      </c>
    </row>
    <row r="365" spans="1:52" ht="15.75" hidden="1" customHeight="1">
      <c r="A365" s="706" t="s">
        <v>1148</v>
      </c>
      <c r="B365" s="706">
        <v>2025</v>
      </c>
      <c r="C365" s="706" t="s">
        <v>1901</v>
      </c>
      <c r="D365" s="706" t="s">
        <v>1902</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G22213</v>
      </c>
      <c r="AK365" s="905" t="str">
        <f t="shared" si="31"/>
        <v>INTERCO HERELLE</v>
      </c>
      <c r="AL365" s="905">
        <f>IFERROR(INDEX(G365:R365,1,MATCH(Parametres!$B$3,G$1:R$1,0)-1)*IF(OR(F365="L",F365="S",F365="I"),-1,1),"")</f>
        <v>100000</v>
      </c>
      <c r="AM365" s="905">
        <f t="shared" si="32"/>
        <v>0</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33"/>
        <v>G22213</v>
      </c>
      <c r="AU365" s="488" t="str">
        <f t="shared" si="34"/>
        <v>INTERCO HERELLE</v>
      </c>
      <c r="AV365" s="899">
        <f>IFERROR(INDEX(V365:AG365,1,MATCH(Parametres!$B$3,V$1:AG$1,0)-1)*IF(OR(C365="L",C365="S",C365="I"),-1,1),"")</f>
        <v>0</v>
      </c>
      <c r="AW365" s="899">
        <f t="shared" si="35"/>
        <v>0</v>
      </c>
      <c r="AX365" s="899">
        <f>INDEX(V365:AG365,1,MATCH(Parametres!$B$3,V$1:AG$1,0))*IF(OR(C365="L",C365="S",C365="I"),-1,1)</f>
        <v>0</v>
      </c>
      <c r="AY365" s="487" t="s">
        <v>337</v>
      </c>
      <c r="AZ365" s="487">
        <f>+VLOOKUP($AJ365,Data_Validation!$A:$E,5,0)</f>
        <v>0</v>
      </c>
    </row>
    <row r="366" spans="1:52" ht="15.75" hidden="1" customHeight="1">
      <c r="A366" s="706" t="s">
        <v>1148</v>
      </c>
      <c r="B366" s="706">
        <v>2025</v>
      </c>
      <c r="C366" s="706" t="s">
        <v>1903</v>
      </c>
      <c r="D366" s="706" t="s">
        <v>1904</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G22500</v>
      </c>
      <c r="AK366" s="905" t="str">
        <f t="shared" si="31"/>
        <v>VENTES PAYES COMPTANT</v>
      </c>
      <c r="AL366" s="905">
        <f>IFERROR(INDEX(G366:R366,1,MATCH(Parametres!$B$3,G$1:R$1,0)-1)*IF(OR(F366="L",F366="S",F366="I"),-1,1),"")</f>
        <v>0</v>
      </c>
      <c r="AM366" s="905">
        <f t="shared" si="32"/>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G22500</v>
      </c>
      <c r="AU366" s="488" t="str">
        <f t="shared" si="34"/>
        <v>VENTES PAYES COMPTANT</v>
      </c>
      <c r="AV366" s="899">
        <f>IFERROR(INDEX(V366:AG366,1,MATCH(Parametres!$B$3,V$1:AG$1,0)-1)*IF(OR(C366="L",C366="S",C366="I"),-1,1),"")</f>
        <v>0</v>
      </c>
      <c r="AW366" s="899">
        <f t="shared" si="35"/>
        <v>0</v>
      </c>
      <c r="AX366" s="899">
        <f>INDEX(V366:AG366,1,MATCH(Parametres!$B$3,V$1:AG$1,0))*IF(OR(C366="L",C366="S",C366="I"),-1,1)</f>
        <v>0</v>
      </c>
      <c r="AY366" s="487" t="s">
        <v>337</v>
      </c>
      <c r="AZ366" s="487" t="e">
        <f>+VLOOKUP($AJ366,Data_Validation!$A:$E,5,0)</f>
        <v>#N/A</v>
      </c>
    </row>
    <row r="367" spans="1:52" ht="15.75" hidden="1" customHeight="1">
      <c r="A367" s="706" t="s">
        <v>1148</v>
      </c>
      <c r="B367" s="706">
        <v>2025</v>
      </c>
      <c r="C367" s="706" t="s">
        <v>1905</v>
      </c>
      <c r="D367" s="706" t="s">
        <v>1906</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G22501</v>
      </c>
      <c r="AK367" s="905" t="str">
        <f t="shared" si="31"/>
        <v>CASHC</v>
      </c>
      <c r="AL367" s="905">
        <f>IFERROR(INDEX(G367:R367,1,MATCH(Parametres!$B$3,G$1:R$1,0)-1)*IF(OR(F367="L",F367="S",F367="I"),-1,1),"")</f>
        <v>0</v>
      </c>
      <c r="AM367" s="905">
        <f t="shared" si="32"/>
        <v>0</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33"/>
        <v>G22501</v>
      </c>
      <c r="AU367" s="488" t="str">
        <f t="shared" si="34"/>
        <v>CASHC</v>
      </c>
      <c r="AV367" s="899">
        <f>IFERROR(INDEX(V367:AG367,1,MATCH(Parametres!$B$3,V$1:AG$1,0)-1)*IF(OR(C367="L",C367="S",C367="I"),-1,1),"")</f>
        <v>0</v>
      </c>
      <c r="AW367" s="899">
        <f t="shared" si="35"/>
        <v>0</v>
      </c>
      <c r="AX367" s="899">
        <f>INDEX(V367:AG367,1,MATCH(Parametres!$B$3,V$1:AG$1,0))*IF(OR(C367="L",C367="S",C367="I"),-1,1)</f>
        <v>0</v>
      </c>
      <c r="AY367" s="487" t="s">
        <v>337</v>
      </c>
      <c r="AZ367" s="487">
        <f>+VLOOKUP($AJ367,Data_Validation!$A:$E,5,0)</f>
        <v>0</v>
      </c>
    </row>
    <row r="368" spans="1:52" ht="15.75" hidden="1" customHeight="1">
      <c r="A368" s="706" t="s">
        <v>1148</v>
      </c>
      <c r="B368" s="706">
        <v>2025</v>
      </c>
      <c r="C368" s="706" t="s">
        <v>1907</v>
      </c>
      <c r="D368" s="706" t="s">
        <v>1908</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G22502</v>
      </c>
      <c r="AK368" s="905" t="str">
        <f t="shared" si="31"/>
        <v>DEBIT/INTERAC</v>
      </c>
      <c r="AL368" s="905">
        <f>IFERROR(INDEX(G368:R368,1,MATCH(Parametres!$B$3,G$1:R$1,0)-1)*IF(OR(F368="L",F368="S",F368="I"),-1,1),"")</f>
        <v>0</v>
      </c>
      <c r="AM368" s="905">
        <f t="shared" si="32"/>
        <v>-231.32</v>
      </c>
      <c r="AN368" s="905">
        <f>INDEX(G368:R368,1,MATCH(Parametres!$B$3,G$1:R$1,0))*IF(OR(F368="L",F368="S",F368="I"),-1,1)</f>
        <v>-231.32</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33"/>
        <v>G22502</v>
      </c>
      <c r="AU368" s="488" t="str">
        <f t="shared" si="34"/>
        <v>DEBIT/INTERAC</v>
      </c>
      <c r="AV368" s="899">
        <f>IFERROR(INDEX(V368:AG368,1,MATCH(Parametres!$B$3,V$1:AG$1,0)-1)*IF(OR(C368="L",C368="S",C368="I"),-1,1),"")</f>
        <v>0</v>
      </c>
      <c r="AW368" s="899">
        <f t="shared" si="35"/>
        <v>0</v>
      </c>
      <c r="AX368" s="899">
        <f>INDEX(V368:AG368,1,MATCH(Parametres!$B$3,V$1:AG$1,0))*IF(OR(C368="L",C368="S",C368="I"),-1,1)</f>
        <v>0</v>
      </c>
      <c r="AY368" s="487" t="s">
        <v>337</v>
      </c>
      <c r="AZ368" s="487">
        <f>+VLOOKUP($AJ368,Data_Validation!$A:$E,5,0)</f>
        <v>0</v>
      </c>
    </row>
    <row r="369" spans="1:52" ht="15.75" hidden="1" customHeight="1">
      <c r="A369" s="706" t="s">
        <v>1148</v>
      </c>
      <c r="B369" s="706">
        <v>2025</v>
      </c>
      <c r="C369" s="706" t="s">
        <v>1909</v>
      </c>
      <c r="D369" s="706" t="s">
        <v>1910</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G22503</v>
      </c>
      <c r="AK369" s="905" t="str">
        <f t="shared" si="31"/>
        <v>MASTER CARD</v>
      </c>
      <c r="AL369" s="905">
        <f>IFERROR(INDEX(G369:R369,1,MATCH(Parametres!$B$3,G$1:R$1,0)-1)*IF(OR(F369="L",F369="S",F369="I"),-1,1),"")</f>
        <v>0</v>
      </c>
      <c r="AM369" s="905">
        <f t="shared" si="32"/>
        <v>0</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33"/>
        <v>G22503</v>
      </c>
      <c r="AU369" s="488" t="str">
        <f t="shared" si="34"/>
        <v>MASTER CARD</v>
      </c>
      <c r="AV369" s="899">
        <f>IFERROR(INDEX(V369:AG369,1,MATCH(Parametres!$B$3,V$1:AG$1,0)-1)*IF(OR(C369="L",C369="S",C369="I"),-1,1),"")</f>
        <v>0</v>
      </c>
      <c r="AW369" s="899">
        <f t="shared" si="35"/>
        <v>0</v>
      </c>
      <c r="AX369" s="899">
        <f>INDEX(V369:AG369,1,MATCH(Parametres!$B$3,V$1:AG$1,0))*IF(OR(C369="L",C369="S",C369="I"),-1,1)</f>
        <v>0</v>
      </c>
      <c r="AY369" s="487" t="s">
        <v>337</v>
      </c>
      <c r="AZ369" s="487">
        <f>+VLOOKUP($AJ369,Data_Validation!$A:$E,5,0)</f>
        <v>0</v>
      </c>
    </row>
    <row r="370" spans="1:52" ht="15.75" hidden="1" customHeight="1">
      <c r="A370" s="706" t="s">
        <v>1148</v>
      </c>
      <c r="B370" s="706">
        <v>2025</v>
      </c>
      <c r="C370" s="706" t="s">
        <v>1911</v>
      </c>
      <c r="D370" s="706" t="s">
        <v>1912</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G22504</v>
      </c>
      <c r="AK370" s="905" t="str">
        <f t="shared" si="31"/>
        <v>VISA</v>
      </c>
      <c r="AL370" s="905">
        <f>IFERROR(INDEX(G370:R370,1,MATCH(Parametres!$B$3,G$1:R$1,0)-1)*IF(OR(F370="L",F370="S",F370="I"),-1,1),"")</f>
        <v>0</v>
      </c>
      <c r="AM370" s="905">
        <f t="shared" si="32"/>
        <v>0</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33"/>
        <v>G22504</v>
      </c>
      <c r="AU370" s="488" t="str">
        <f t="shared" si="34"/>
        <v>VISA</v>
      </c>
      <c r="AV370" s="899">
        <f>IFERROR(INDEX(V370:AG370,1,MATCH(Parametres!$B$3,V$1:AG$1,0)-1)*IF(OR(C370="L",C370="S",C370="I"),-1,1),"")</f>
        <v>0</v>
      </c>
      <c r="AW370" s="899">
        <f t="shared" si="35"/>
        <v>0</v>
      </c>
      <c r="AX370" s="899">
        <f>INDEX(V370:AG370,1,MATCH(Parametres!$B$3,V$1:AG$1,0))*IF(OR(C370="L",C370="S",C370="I"),-1,1)</f>
        <v>0</v>
      </c>
      <c r="AY370" s="487" t="s">
        <v>337</v>
      </c>
      <c r="AZ370" s="487">
        <f>+VLOOKUP($AJ370,Data_Validation!$A:$E,5,0)</f>
        <v>0</v>
      </c>
    </row>
    <row r="371" spans="1:52" ht="15.75" hidden="1" customHeight="1">
      <c r="A371" s="706" t="s">
        <v>1148</v>
      </c>
      <c r="B371" s="706">
        <v>2025</v>
      </c>
      <c r="C371" s="706" t="s">
        <v>1913</v>
      </c>
      <c r="D371" s="706" t="s">
        <v>1914</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G22505</v>
      </c>
      <c r="AK371" s="905" t="str">
        <f t="shared" si="31"/>
        <v>AMEX</v>
      </c>
      <c r="AL371" s="905">
        <f>IFERROR(INDEX(G371:R371,1,MATCH(Parametres!$B$3,G$1:R$1,0)-1)*IF(OR(F371="L",F371="S",F371="I"),-1,1),"")</f>
        <v>0</v>
      </c>
      <c r="AM371" s="905">
        <f t="shared" si="32"/>
        <v>0</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33"/>
        <v>G22505</v>
      </c>
      <c r="AU371" s="488" t="str">
        <f t="shared" si="34"/>
        <v>AMEX</v>
      </c>
      <c r="AV371" s="899">
        <f>IFERROR(INDEX(V371:AG371,1,MATCH(Parametres!$B$3,V$1:AG$1,0)-1)*IF(OR(C371="L",C371="S",C371="I"),-1,1),"")</f>
        <v>0</v>
      </c>
      <c r="AW371" s="899">
        <f t="shared" si="35"/>
        <v>0</v>
      </c>
      <c r="AX371" s="899">
        <f>INDEX(V371:AG371,1,MATCH(Parametres!$B$3,V$1:AG$1,0))*IF(OR(C371="L",C371="S",C371="I"),-1,1)</f>
        <v>0</v>
      </c>
      <c r="AY371" s="487" t="s">
        <v>337</v>
      </c>
      <c r="AZ371" s="487">
        <f>+VLOOKUP($AJ371,Data_Validation!$A:$E,5,0)</f>
        <v>0</v>
      </c>
    </row>
    <row r="372" spans="1:52" ht="15.75" hidden="1" customHeight="1">
      <c r="A372" s="706" t="s">
        <v>1148</v>
      </c>
      <c r="B372" s="706">
        <v>2025</v>
      </c>
      <c r="C372" s="706" t="s">
        <v>1915</v>
      </c>
      <c r="D372" s="706" t="s">
        <v>1916</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G22506</v>
      </c>
      <c r="AK372" s="905" t="str">
        <f t="shared" si="31"/>
        <v>CHEQUES</v>
      </c>
      <c r="AL372" s="905">
        <f>IFERROR(INDEX(G372:R372,1,MATCH(Parametres!$B$3,G$1:R$1,0)-1)*IF(OR(F372="L",F372="S",F372="I"),-1,1),"")</f>
        <v>0</v>
      </c>
      <c r="AM372" s="905">
        <f t="shared" si="32"/>
        <v>0</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33"/>
        <v>G22506</v>
      </c>
      <c r="AU372" s="488" t="str">
        <f t="shared" si="34"/>
        <v>CHEQUES</v>
      </c>
      <c r="AV372" s="899">
        <f>IFERROR(INDEX(V372:AG372,1,MATCH(Parametres!$B$3,V$1:AG$1,0)-1)*IF(OR(C372="L",C372="S",C372="I"),-1,1),"")</f>
        <v>0</v>
      </c>
      <c r="AW372" s="899">
        <f t="shared" si="35"/>
        <v>0</v>
      </c>
      <c r="AX372" s="899">
        <f>INDEX(V372:AG372,1,MATCH(Parametres!$B$3,V$1:AG$1,0))*IF(OR(C372="L",C372="S",C372="I"),-1,1)</f>
        <v>0</v>
      </c>
      <c r="AY372" s="487" t="s">
        <v>337</v>
      </c>
      <c r="AZ372" s="487">
        <f>+VLOOKUP($AJ372,Data_Validation!$A:$E,5,0)</f>
        <v>0</v>
      </c>
    </row>
    <row r="373" spans="1:52" ht="15.75" hidden="1" customHeight="1">
      <c r="A373" s="706" t="s">
        <v>1148</v>
      </c>
      <c r="B373" s="706">
        <v>2025</v>
      </c>
      <c r="C373" s="706" t="s">
        <v>1917</v>
      </c>
      <c r="D373" s="706" t="s">
        <v>1918</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G23000</v>
      </c>
      <c r="AK373" s="905" t="str">
        <f t="shared" si="31"/>
        <v>VEHICULES USAGÉS GLOBE</v>
      </c>
      <c r="AL373" s="905">
        <f>IFERROR(INDEX(G373:R373,1,MATCH(Parametres!$B$3,G$1:R$1,0)-1)*IF(OR(F373="L",F373="S",F373="I"),-1,1),"")</f>
        <v>0</v>
      </c>
      <c r="AM373" s="905">
        <f t="shared" si="32"/>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33"/>
        <v>G23000</v>
      </c>
      <c r="AU373" s="488" t="str">
        <f t="shared" si="34"/>
        <v>VEHICULES USAGÉS GLOBE</v>
      </c>
      <c r="AV373" s="899">
        <f>IFERROR(INDEX(V373:AG373,1,MATCH(Parametres!$B$3,V$1:AG$1,0)-1)*IF(OR(C373="L",C373="S",C373="I"),-1,1),"")</f>
        <v>0</v>
      </c>
      <c r="AW373" s="899">
        <f t="shared" si="35"/>
        <v>0</v>
      </c>
      <c r="AX373" s="899">
        <f>INDEX(V373:AG373,1,MATCH(Parametres!$B$3,V$1:AG$1,0))*IF(OR(C373="L",C373="S",C373="I"),-1,1)</f>
        <v>0</v>
      </c>
      <c r="AY373" s="487" t="s">
        <v>337</v>
      </c>
      <c r="AZ373" s="487" t="e">
        <f>+VLOOKUP($AJ373,Data_Validation!$A:$E,5,0)</f>
        <v>#N/A</v>
      </c>
    </row>
    <row r="374" spans="1:52" ht="15.75" hidden="1" customHeight="1">
      <c r="A374" s="706" t="s">
        <v>1148</v>
      </c>
      <c r="B374" s="706">
        <v>2025</v>
      </c>
      <c r="C374" s="706" t="s">
        <v>1919</v>
      </c>
      <c r="D374" s="706" t="s">
        <v>1920</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G23100</v>
      </c>
      <c r="AK374" s="905" t="str">
        <f t="shared" si="31"/>
        <v>INV. AUTOS NEUVES</v>
      </c>
      <c r="AL374" s="905">
        <f>IFERROR(INDEX(G374:R374,1,MATCH(Parametres!$B$3,G$1:R$1,0)-1)*IF(OR(F374="L",F374="S",F374="I"),-1,1),"")</f>
        <v>506037</v>
      </c>
      <c r="AM374" s="905">
        <f t="shared" si="32"/>
        <v>-258942</v>
      </c>
      <c r="AN374" s="905">
        <f>INDEX(G374:R374,1,MATCH(Parametres!$B$3,G$1:R$1,0))*IF(OR(F374="L",F374="S",F374="I"),-1,1)</f>
        <v>247095</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33"/>
        <v>G23100</v>
      </c>
      <c r="AU374" s="488" t="str">
        <f t="shared" si="34"/>
        <v>INV. AUTOS NEUVES</v>
      </c>
      <c r="AV374" s="899">
        <f>IFERROR(INDEX(V374:AG374,1,MATCH(Parametres!$B$3,V$1:AG$1,0)-1)*IF(OR(C374="L",C374="S",C374="I"),-1,1),"")</f>
        <v>0</v>
      </c>
      <c r="AW374" s="899">
        <f t="shared" si="35"/>
        <v>0</v>
      </c>
      <c r="AX374" s="899">
        <f>INDEX(V374:AG374,1,MATCH(Parametres!$B$3,V$1:AG$1,0))*IF(OR(C374="L",C374="S",C374="I"),-1,1)</f>
        <v>0</v>
      </c>
      <c r="AY374" s="487" t="s">
        <v>337</v>
      </c>
      <c r="AZ374" s="487">
        <f>+VLOOKUP($AJ374,Data_Validation!$A:$E,5,0)</f>
        <v>0</v>
      </c>
    </row>
    <row r="375" spans="1:52" ht="15.75" hidden="1" customHeight="1">
      <c r="A375" s="706" t="s">
        <v>1148</v>
      </c>
      <c r="B375" s="706">
        <v>2025</v>
      </c>
      <c r="C375" s="706" t="s">
        <v>1921</v>
      </c>
      <c r="D375" s="706" t="s">
        <v>1922</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G23500</v>
      </c>
      <c r="AK375" s="905" t="str">
        <f t="shared" si="31"/>
        <v>INV. CAM. POIDS MOY-NEUFS</v>
      </c>
      <c r="AL375" s="905">
        <f>IFERROR(INDEX(G375:R375,1,MATCH(Parametres!$B$3,G$1:R$1,0)-1)*IF(OR(F375="L",F375="S",F375="I"),-1,1),"")</f>
        <v>0</v>
      </c>
      <c r="AM375" s="905">
        <f t="shared" si="32"/>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33"/>
        <v>G23500</v>
      </c>
      <c r="AU375" s="488" t="str">
        <f t="shared" si="34"/>
        <v>INV. CAM. POIDS MOY-NEUFS</v>
      </c>
      <c r="AV375" s="899">
        <f>IFERROR(INDEX(V375:AG375,1,MATCH(Parametres!$B$3,V$1:AG$1,0)-1)*IF(OR(C375="L",C375="S",C375="I"),-1,1),"")</f>
        <v>0</v>
      </c>
      <c r="AW375" s="899">
        <f t="shared" si="35"/>
        <v>0</v>
      </c>
      <c r="AX375" s="899">
        <f>INDEX(V375:AG375,1,MATCH(Parametres!$B$3,V$1:AG$1,0))*IF(OR(C375="L",C375="S",C375="I"),-1,1)</f>
        <v>0</v>
      </c>
      <c r="AY375" s="487" t="s">
        <v>337</v>
      </c>
      <c r="AZ375" s="487" t="e">
        <f>+VLOOKUP($AJ375,Data_Validation!$A:$E,5,0)</f>
        <v>#N/A</v>
      </c>
    </row>
    <row r="376" spans="1:52" ht="15.75" hidden="1" customHeight="1">
      <c r="A376" s="706" t="s">
        <v>1148</v>
      </c>
      <c r="B376" s="706">
        <v>2025</v>
      </c>
      <c r="C376" s="706" t="s">
        <v>1923</v>
      </c>
      <c r="D376" s="706" t="s">
        <v>1924</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G23700</v>
      </c>
      <c r="AK376" s="905" t="str">
        <f t="shared" si="31"/>
        <v>INV. CAMIONS NEUFS</v>
      </c>
      <c r="AL376" s="905">
        <f>IFERROR(INDEX(G376:R376,1,MATCH(Parametres!$B$3,G$1:R$1,0)-1)*IF(OR(F376="L",F376="S",F376="I"),-1,1),"")</f>
        <v>22944449.890000001</v>
      </c>
      <c r="AM376" s="905">
        <f t="shared" si="32"/>
        <v>4971253.7300000004</v>
      </c>
      <c r="AN376" s="905">
        <f>INDEX(G376:R376,1,MATCH(Parametres!$B$3,G$1:R$1,0))*IF(OR(F376="L",F376="S",F376="I"),-1,1)</f>
        <v>27915703.620000001</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33"/>
        <v>G23700</v>
      </c>
      <c r="AU376" s="488" t="str">
        <f t="shared" si="34"/>
        <v>INV. CAMIONS NEUFS</v>
      </c>
      <c r="AV376" s="899">
        <f>IFERROR(INDEX(V376:AG376,1,MATCH(Parametres!$B$3,V$1:AG$1,0)-1)*IF(OR(C376="L",C376="S",C376="I"),-1,1),"")</f>
        <v>0</v>
      </c>
      <c r="AW376" s="899">
        <f t="shared" si="35"/>
        <v>0</v>
      </c>
      <c r="AX376" s="899">
        <f>INDEX(V376:AG376,1,MATCH(Parametres!$B$3,V$1:AG$1,0))*IF(OR(C376="L",C376="S",C376="I"),-1,1)</f>
        <v>0</v>
      </c>
      <c r="AY376" s="487" t="s">
        <v>337</v>
      </c>
      <c r="AZ376" s="487">
        <f>+VLOOKUP($AJ376,Data_Validation!$A:$E,5,0)</f>
        <v>0</v>
      </c>
    </row>
    <row r="377" spans="1:52" ht="15.75" hidden="1" customHeight="1">
      <c r="A377" s="706" t="s">
        <v>1148</v>
      </c>
      <c r="B377" s="706">
        <v>2025</v>
      </c>
      <c r="C377" s="706" t="s">
        <v>1925</v>
      </c>
      <c r="D377" s="706" t="s">
        <v>1926</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G24000</v>
      </c>
      <c r="AK377" s="905" t="str">
        <f t="shared" si="31"/>
        <v>INV. AUTOS USAGEES</v>
      </c>
      <c r="AL377" s="905">
        <f>IFERROR(INDEX(G377:R377,1,MATCH(Parametres!$B$3,G$1:R$1,0)-1)*IF(OR(F377="L",F377="S",F377="I"),-1,1),"")</f>
        <v>302729.02</v>
      </c>
      <c r="AM377" s="905">
        <f t="shared" si="32"/>
        <v>1168500.3</v>
      </c>
      <c r="AN377" s="905">
        <f>INDEX(G377:R377,1,MATCH(Parametres!$B$3,G$1:R$1,0))*IF(OR(F377="L",F377="S",F377="I"),-1,1)</f>
        <v>1471229.32</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33"/>
        <v>G24000</v>
      </c>
      <c r="AU377" s="488" t="str">
        <f t="shared" si="34"/>
        <v>INV. AUTOS USAGEES</v>
      </c>
      <c r="AV377" s="899">
        <f>IFERROR(INDEX(V377:AG377,1,MATCH(Parametres!$B$3,V$1:AG$1,0)-1)*IF(OR(C377="L",C377="S",C377="I"),-1,1),"")</f>
        <v>0</v>
      </c>
      <c r="AW377" s="899">
        <f t="shared" si="35"/>
        <v>0</v>
      </c>
      <c r="AX377" s="899">
        <f>INDEX(V377:AG377,1,MATCH(Parametres!$B$3,V$1:AG$1,0))*IF(OR(C377="L",C377="S",C377="I"),-1,1)</f>
        <v>0</v>
      </c>
      <c r="AY377" s="487" t="s">
        <v>337</v>
      </c>
      <c r="AZ377" s="487">
        <f>+VLOOKUP($AJ377,Data_Validation!$A:$E,5,0)</f>
        <v>0</v>
      </c>
    </row>
    <row r="378" spans="1:52" ht="15.75" hidden="1" customHeight="1">
      <c r="A378" s="706" t="s">
        <v>1148</v>
      </c>
      <c r="B378" s="706">
        <v>2025</v>
      </c>
      <c r="C378" s="706" t="s">
        <v>1927</v>
      </c>
      <c r="D378" s="706" t="s">
        <v>1928</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G24001</v>
      </c>
      <c r="AK378" s="905" t="str">
        <f t="shared" si="31"/>
        <v>INVENTAIRE EBLOCK</v>
      </c>
      <c r="AL378" s="905">
        <f>IFERROR(INDEX(G378:R378,1,MATCH(Parametres!$B$3,G$1:R$1,0)-1)*IF(OR(F378="L",F378="S",F378="I"),-1,1),"")</f>
        <v>0</v>
      </c>
      <c r="AM378" s="905">
        <f t="shared" si="32"/>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33"/>
        <v>G24001</v>
      </c>
      <c r="AU378" s="488" t="str">
        <f t="shared" si="34"/>
        <v>INVENTAIRE EBLOCK</v>
      </c>
      <c r="AV378" s="899">
        <f>IFERROR(INDEX(V378:AG378,1,MATCH(Parametres!$B$3,V$1:AG$1,0)-1)*IF(OR(C378="L",C378="S",C378="I"),-1,1),"")</f>
        <v>0</v>
      </c>
      <c r="AW378" s="899">
        <f t="shared" si="35"/>
        <v>0</v>
      </c>
      <c r="AX378" s="899">
        <f>INDEX(V378:AG378,1,MATCH(Parametres!$B$3,V$1:AG$1,0))*IF(OR(C378="L",C378="S",C378="I"),-1,1)</f>
        <v>0</v>
      </c>
      <c r="AY378" s="487" t="s">
        <v>337</v>
      </c>
      <c r="AZ378" s="487" t="e">
        <f>+VLOOKUP($AJ378,Data_Validation!$A:$E,5,0)</f>
        <v>#N/A</v>
      </c>
    </row>
    <row r="379" spans="1:52" ht="15.75" hidden="1" customHeight="1">
      <c r="A379" s="706" t="s">
        <v>1148</v>
      </c>
      <c r="B379" s="706">
        <v>2025</v>
      </c>
      <c r="C379" s="706" t="s">
        <v>1929</v>
      </c>
      <c r="D379" s="706" t="s">
        <v>1930</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G24100</v>
      </c>
      <c r="AK379" s="905" t="str">
        <f t="shared" si="31"/>
        <v>INV. CAMIONS USAGES</v>
      </c>
      <c r="AL379" s="905">
        <f>IFERROR(INDEX(G379:R379,1,MATCH(Parametres!$B$3,G$1:R$1,0)-1)*IF(OR(F379="L",F379="S",F379="I"),-1,1),"")</f>
        <v>2364529.04</v>
      </c>
      <c r="AM379" s="905">
        <f t="shared" si="32"/>
        <v>645871.98999999976</v>
      </c>
      <c r="AN379" s="905">
        <f>INDEX(G379:R379,1,MATCH(Parametres!$B$3,G$1:R$1,0))*IF(OR(F379="L",F379="S",F379="I"),-1,1)</f>
        <v>3010401.03</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33"/>
        <v>G24100</v>
      </c>
      <c r="AU379" s="488" t="str">
        <f t="shared" si="34"/>
        <v>INV. CAMIONS USAGES</v>
      </c>
      <c r="AV379" s="899">
        <f>IFERROR(INDEX(V379:AG379,1,MATCH(Parametres!$B$3,V$1:AG$1,0)-1)*IF(OR(C379="L",C379="S",C379="I"),-1,1),"")</f>
        <v>0</v>
      </c>
      <c r="AW379" s="899">
        <f t="shared" si="35"/>
        <v>0</v>
      </c>
      <c r="AX379" s="899">
        <f>INDEX(V379:AG379,1,MATCH(Parametres!$B$3,V$1:AG$1,0))*IF(OR(C379="L",C379="S",C379="I"),-1,1)</f>
        <v>0</v>
      </c>
      <c r="AY379" s="487" t="s">
        <v>337</v>
      </c>
      <c r="AZ379" s="487">
        <f>+VLOOKUP($AJ379,Data_Validation!$A:$E,5,0)</f>
        <v>0</v>
      </c>
    </row>
    <row r="380" spans="1:52" ht="15.75" hidden="1" customHeight="1">
      <c r="A380" s="706" t="s">
        <v>1148</v>
      </c>
      <c r="B380" s="706">
        <v>2025</v>
      </c>
      <c r="C380" s="706" t="s">
        <v>1931</v>
      </c>
      <c r="D380" s="706" t="s">
        <v>1932</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G24103</v>
      </c>
      <c r="AK380" s="905" t="str">
        <f t="shared" si="31"/>
        <v>INV. VENTES U.S.A</v>
      </c>
      <c r="AL380" s="905">
        <f>IFERROR(INDEX(G380:R380,1,MATCH(Parametres!$B$3,G$1:R$1,0)-1)*IF(OR(F380="L",F380="S",F380="I"),-1,1),"")</f>
        <v>1644034.03</v>
      </c>
      <c r="AM380" s="905">
        <f t="shared" si="32"/>
        <v>838448.65999999992</v>
      </c>
      <c r="AN380" s="905">
        <f>INDEX(G380:R380,1,MATCH(Parametres!$B$3,G$1:R$1,0))*IF(OR(F380="L",F380="S",F380="I"),-1,1)</f>
        <v>2482482.69</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33"/>
        <v>G24103</v>
      </c>
      <c r="AU380" s="488" t="str">
        <f t="shared" si="34"/>
        <v>INV. VENTES U.S.A</v>
      </c>
      <c r="AV380" s="899">
        <f>IFERROR(INDEX(V380:AG380,1,MATCH(Parametres!$B$3,V$1:AG$1,0)-1)*IF(OR(C380="L",C380="S",C380="I"),-1,1),"")</f>
        <v>0</v>
      </c>
      <c r="AW380" s="899">
        <f t="shared" si="35"/>
        <v>0</v>
      </c>
      <c r="AX380" s="899">
        <f>INDEX(V380:AG380,1,MATCH(Parametres!$B$3,V$1:AG$1,0))*IF(OR(C380="L",C380="S",C380="I"),-1,1)</f>
        <v>0</v>
      </c>
      <c r="AY380" s="487" t="s">
        <v>337</v>
      </c>
      <c r="AZ380" s="487">
        <f>+VLOOKUP($AJ380,Data_Validation!$A:$E,5,0)</f>
        <v>0</v>
      </c>
    </row>
    <row r="381" spans="1:52" ht="15.75" hidden="1" customHeight="1">
      <c r="A381" s="706" t="s">
        <v>1148</v>
      </c>
      <c r="B381" s="706">
        <v>2025</v>
      </c>
      <c r="C381" s="706" t="s">
        <v>1933</v>
      </c>
      <c r="D381" s="706" t="s">
        <v>1934</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G242A</v>
      </c>
      <c r="AK381" s="905" t="str">
        <f t="shared" si="31"/>
        <v>PIECES D'ECHANGES</v>
      </c>
      <c r="AL381" s="905">
        <f>IFERROR(INDEX(G381:R381,1,MATCH(Parametres!$B$3,G$1:R$1,0)-1)*IF(OR(F381="L",F381="S",F381="I"),-1,1),"")</f>
        <v>0</v>
      </c>
      <c r="AM381" s="905">
        <f t="shared" si="32"/>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33"/>
        <v>G242A</v>
      </c>
      <c r="AU381" s="488" t="str">
        <f t="shared" si="34"/>
        <v>PIECES D'ECHANGES</v>
      </c>
      <c r="AV381" s="899">
        <f>IFERROR(INDEX(V381:AG381,1,MATCH(Parametres!$B$3,V$1:AG$1,0)-1)*IF(OR(C381="L",C381="S",C381="I"),-1,1),"")</f>
        <v>0</v>
      </c>
      <c r="AW381" s="899">
        <f t="shared" si="35"/>
        <v>0</v>
      </c>
      <c r="AX381" s="899">
        <f>INDEX(V381:AG381,1,MATCH(Parametres!$B$3,V$1:AG$1,0))*IF(OR(C381="L",C381="S",C381="I"),-1,1)</f>
        <v>0</v>
      </c>
      <c r="AY381" s="487" t="s">
        <v>337</v>
      </c>
      <c r="AZ381" s="487" t="e">
        <f>+VLOOKUP($AJ381,Data_Validation!$A:$E,5,0)</f>
        <v>#N/A</v>
      </c>
    </row>
    <row r="382" spans="1:52" ht="15.75" hidden="1" customHeight="1">
      <c r="A382" s="706" t="s">
        <v>1148</v>
      </c>
      <c r="B382" s="706">
        <v>2025</v>
      </c>
      <c r="C382" s="706" t="s">
        <v>1935</v>
      </c>
      <c r="D382" s="706" t="s">
        <v>1936</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G24200</v>
      </c>
      <c r="AK382" s="905" t="str">
        <f t="shared" si="31"/>
        <v>INV. DE PIECES</v>
      </c>
      <c r="AL382" s="905">
        <f>IFERROR(INDEX(G382:R382,1,MATCH(Parametres!$B$3,G$1:R$1,0)-1)*IF(OR(F382="L",F382="S",F382="I"),-1,1),"")</f>
        <v>305943.8</v>
      </c>
      <c r="AM382" s="905">
        <f t="shared" si="32"/>
        <v>28530.590000000026</v>
      </c>
      <c r="AN382" s="905">
        <f>INDEX(G382:R382,1,MATCH(Parametres!$B$3,G$1:R$1,0))*IF(OR(F382="L",F382="S",F382="I"),-1,1)</f>
        <v>334474.39</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33"/>
        <v>G24200</v>
      </c>
      <c r="AU382" s="488" t="str">
        <f t="shared" si="34"/>
        <v>INV. DE PIECES</v>
      </c>
      <c r="AV382" s="899">
        <f>IFERROR(INDEX(V382:AG382,1,MATCH(Parametres!$B$3,V$1:AG$1,0)-1)*IF(OR(C382="L",C382="S",C382="I"),-1,1),"")</f>
        <v>0</v>
      </c>
      <c r="AW382" s="899">
        <f t="shared" si="35"/>
        <v>0</v>
      </c>
      <c r="AX382" s="899">
        <f>INDEX(V382:AG382,1,MATCH(Parametres!$B$3,V$1:AG$1,0))*IF(OR(C382="L",C382="S",C382="I"),-1,1)</f>
        <v>0</v>
      </c>
      <c r="AY382" s="487" t="s">
        <v>337</v>
      </c>
      <c r="AZ382" s="487">
        <f>+VLOOKUP($AJ382,Data_Validation!$A:$E,5,0)</f>
        <v>0</v>
      </c>
    </row>
    <row r="383" spans="1:52" ht="15.75" hidden="1" customHeight="1">
      <c r="A383" s="706" t="s">
        <v>1148</v>
      </c>
      <c r="B383" s="706">
        <v>2025</v>
      </c>
      <c r="C383" s="706" t="s">
        <v>1937</v>
      </c>
      <c r="D383" s="706" t="s">
        <v>1938</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G24300</v>
      </c>
      <c r="AK383" s="905" t="str">
        <f t="shared" si="31"/>
        <v>INV. DE PNEUS</v>
      </c>
      <c r="AL383" s="905">
        <f>IFERROR(INDEX(G383:R383,1,MATCH(Parametres!$B$3,G$1:R$1,0)-1)*IF(OR(F383="L",F383="S",F383="I"),-1,1),"")</f>
        <v>270203.94</v>
      </c>
      <c r="AM383" s="905">
        <f t="shared" si="32"/>
        <v>-11673.160000000003</v>
      </c>
      <c r="AN383" s="905">
        <f>INDEX(G383:R383,1,MATCH(Parametres!$B$3,G$1:R$1,0))*IF(OR(F383="L",F383="S",F383="I"),-1,1)</f>
        <v>258530.78</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33"/>
        <v>G24300</v>
      </c>
      <c r="AU383" s="488" t="str">
        <f t="shared" si="34"/>
        <v>INV. DE PNEUS</v>
      </c>
      <c r="AV383" s="899">
        <f>IFERROR(INDEX(V383:AG383,1,MATCH(Parametres!$B$3,V$1:AG$1,0)-1)*IF(OR(C383="L",C383="S",C383="I"),-1,1),"")</f>
        <v>0</v>
      </c>
      <c r="AW383" s="899">
        <f t="shared" si="35"/>
        <v>0</v>
      </c>
      <c r="AX383" s="899">
        <f>INDEX(V383:AG383,1,MATCH(Parametres!$B$3,V$1:AG$1,0))*IF(OR(C383="L",C383="S",C383="I"),-1,1)</f>
        <v>0</v>
      </c>
      <c r="AY383" s="487" t="s">
        <v>337</v>
      </c>
      <c r="AZ383" s="487">
        <f>+VLOOKUP($AJ383,Data_Validation!$A:$E,5,0)</f>
        <v>0</v>
      </c>
    </row>
    <row r="384" spans="1:52" ht="15.75" hidden="1" customHeight="1">
      <c r="A384" s="706" t="s">
        <v>1148</v>
      </c>
      <c r="B384" s="706">
        <v>2025</v>
      </c>
      <c r="C384" s="706" t="s">
        <v>1939</v>
      </c>
      <c r="D384" s="706" t="s">
        <v>1940</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G244</v>
      </c>
      <c r="AK384" s="905" t="str">
        <f t="shared" si="31"/>
        <v>INV. ESS.,HUILE,GRAISSE</v>
      </c>
      <c r="AL384" s="905">
        <f>IFERROR(INDEX(G384:R384,1,MATCH(Parametres!$B$3,G$1:R$1,0)-1)*IF(OR(F384="L",F384="S",F384="I"),-1,1),"")</f>
        <v>0</v>
      </c>
      <c r="AM384" s="905">
        <f t="shared" si="32"/>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33"/>
        <v>G244</v>
      </c>
      <c r="AU384" s="488" t="str">
        <f t="shared" si="34"/>
        <v>INV. ESS.,HUILE,GRAISSE</v>
      </c>
      <c r="AV384" s="899">
        <f>IFERROR(INDEX(V384:AG384,1,MATCH(Parametres!$B$3,V$1:AG$1,0)-1)*IF(OR(C384="L",C384="S",C384="I"),-1,1),"")</f>
        <v>0</v>
      </c>
      <c r="AW384" s="899">
        <f t="shared" si="35"/>
        <v>0</v>
      </c>
      <c r="AX384" s="899">
        <f>INDEX(V384:AG384,1,MATCH(Parametres!$B$3,V$1:AG$1,0))*IF(OR(C384="L",C384="S",C384="I"),-1,1)</f>
        <v>0</v>
      </c>
      <c r="AY384" s="487" t="s">
        <v>337</v>
      </c>
      <c r="AZ384" s="487" t="e">
        <f>+VLOOKUP($AJ384,Data_Validation!$A:$E,5,0)</f>
        <v>#N/A</v>
      </c>
    </row>
    <row r="385" spans="1:52" ht="15.75" hidden="1" customHeight="1">
      <c r="A385" s="706" t="s">
        <v>1148</v>
      </c>
      <c r="B385" s="706">
        <v>2025</v>
      </c>
      <c r="C385" s="706" t="s">
        <v>1941</v>
      </c>
      <c r="D385" s="706" t="s">
        <v>3102</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G24400</v>
      </c>
      <c r="AK385" s="905" t="str">
        <f t="shared" si="31"/>
        <v>HUILES</v>
      </c>
      <c r="AL385" s="905">
        <f>IFERROR(INDEX(G385:R385,1,MATCH(Parametres!$B$3,G$1:R$1,0)-1)*IF(OR(F385="L",F385="S",F385="I"),-1,1),"")</f>
        <v>3562.72</v>
      </c>
      <c r="AM385" s="905">
        <f t="shared" si="32"/>
        <v>-2786.8199999999997</v>
      </c>
      <c r="AN385" s="905">
        <f>INDEX(G385:R385,1,MATCH(Parametres!$B$3,G$1:R$1,0))*IF(OR(F385="L",F385="S",F385="I"),-1,1)</f>
        <v>775.9</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33"/>
        <v>G24400</v>
      </c>
      <c r="AU385" s="488" t="str">
        <f t="shared" si="34"/>
        <v>HUILES</v>
      </c>
      <c r="AV385" s="899">
        <f>IFERROR(INDEX(V385:AG385,1,MATCH(Parametres!$B$3,V$1:AG$1,0)-1)*IF(OR(C385="L",C385="S",C385="I"),-1,1),"")</f>
        <v>0</v>
      </c>
      <c r="AW385" s="899">
        <f t="shared" si="35"/>
        <v>0</v>
      </c>
      <c r="AX385" s="899">
        <f>INDEX(V385:AG385,1,MATCH(Parametres!$B$3,V$1:AG$1,0))*IF(OR(C385="L",C385="S",C385="I"),-1,1)</f>
        <v>0</v>
      </c>
      <c r="AY385" s="487" t="s">
        <v>337</v>
      </c>
      <c r="AZ385" s="487">
        <f>+VLOOKUP($AJ385,Data_Validation!$A:$E,5,0)</f>
        <v>0</v>
      </c>
    </row>
    <row r="386" spans="1:52" ht="15.75" hidden="1" customHeight="1">
      <c r="A386" s="706" t="s">
        <v>1148</v>
      </c>
      <c r="B386" s="706">
        <v>2025</v>
      </c>
      <c r="C386" s="706" t="s">
        <v>1943</v>
      </c>
      <c r="D386" s="706" t="s">
        <v>1944</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G24500</v>
      </c>
      <c r="AK386" s="905" t="str">
        <f t="shared" si="31"/>
        <v>INV. DE PEINTURE</v>
      </c>
      <c r="AL386" s="905">
        <f>IFERROR(INDEX(G386:R386,1,MATCH(Parametres!$B$3,G$1:R$1,0)-1)*IF(OR(F386="L",F386="S",F386="I"),-1,1),"")</f>
        <v>73802.58</v>
      </c>
      <c r="AM386" s="905">
        <f t="shared" si="32"/>
        <v>5998.8499999999913</v>
      </c>
      <c r="AN386" s="905">
        <f>INDEX(G386:R386,1,MATCH(Parametres!$B$3,G$1:R$1,0))*IF(OR(F386="L",F386="S",F386="I"),-1,1)</f>
        <v>79801.429999999993</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33"/>
        <v>G24500</v>
      </c>
      <c r="AU386" s="488" t="str">
        <f t="shared" si="34"/>
        <v>INV. DE PEINTURE</v>
      </c>
      <c r="AV386" s="899">
        <f>IFERROR(INDEX(V386:AG386,1,MATCH(Parametres!$B$3,V$1:AG$1,0)-1)*IF(OR(C386="L",C386="S",C386="I"),-1,1),"")</f>
        <v>0</v>
      </c>
      <c r="AW386" s="899">
        <f t="shared" si="35"/>
        <v>0</v>
      </c>
      <c r="AX386" s="899">
        <f>INDEX(V386:AG386,1,MATCH(Parametres!$B$3,V$1:AG$1,0))*IF(OR(C386="L",C386="S",C386="I"),-1,1)</f>
        <v>0</v>
      </c>
      <c r="AY386" s="487" t="s">
        <v>337</v>
      </c>
      <c r="AZ386" s="487">
        <f>+VLOOKUP($AJ386,Data_Validation!$A:$E,5,0)</f>
        <v>0</v>
      </c>
    </row>
    <row r="387" spans="1:52" ht="15.75" hidden="1" customHeight="1">
      <c r="A387" s="706" t="s">
        <v>1148</v>
      </c>
      <c r="B387" s="706">
        <v>2025</v>
      </c>
      <c r="C387" s="706" t="s">
        <v>1951</v>
      </c>
      <c r="D387" s="706" t="s">
        <v>1952</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G24600</v>
      </c>
      <c r="AK387" s="905" t="str">
        <f t="shared" si="31"/>
        <v>INV. SOUS-CONTRATS</v>
      </c>
      <c r="AL387" s="905">
        <f>IFERROR(INDEX(G387:R387,1,MATCH(Parametres!$B$3,G$1:R$1,0)-1)*IF(OR(F387="L",F387="S",F387="I"),-1,1),"")</f>
        <v>2319.35</v>
      </c>
      <c r="AM387" s="905">
        <f t="shared" si="32"/>
        <v>-713.89999999999986</v>
      </c>
      <c r="AN387" s="905">
        <f>INDEX(G387:R387,1,MATCH(Parametres!$B$3,G$1:R$1,0))*IF(OR(F387="L",F387="S",F387="I"),-1,1)</f>
        <v>1605.45</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33"/>
        <v>G24600</v>
      </c>
      <c r="AU387" s="488" t="str">
        <f t="shared" si="34"/>
        <v>INV. SOUS-CONTRATS</v>
      </c>
      <c r="AV387" s="899">
        <f>IFERROR(INDEX(V387:AG387,1,MATCH(Parametres!$B$3,V$1:AG$1,0)-1)*IF(OR(C387="L",C387="S",C387="I"),-1,1),"")</f>
        <v>0</v>
      </c>
      <c r="AW387" s="899">
        <f t="shared" si="35"/>
        <v>0</v>
      </c>
      <c r="AX387" s="899">
        <f>INDEX(V387:AG387,1,MATCH(Parametres!$B$3,V$1:AG$1,0))*IF(OR(C387="L",C387="S",C387="I"),-1,1)</f>
        <v>0</v>
      </c>
      <c r="AY387" s="487" t="s">
        <v>337</v>
      </c>
      <c r="AZ387" s="487">
        <f>+VLOOKUP($AJ387,Data_Validation!$A:$E,5,0)</f>
        <v>0</v>
      </c>
    </row>
    <row r="388" spans="1:52" ht="15.75" hidden="1" customHeight="1">
      <c r="A388" s="706" t="s">
        <v>1148</v>
      </c>
      <c r="B388" s="706">
        <v>2025</v>
      </c>
      <c r="C388" s="706" t="s">
        <v>1953</v>
      </c>
      <c r="D388" s="706" t="s">
        <v>1954</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G24601</v>
      </c>
      <c r="AK388" s="905" t="str">
        <f t="shared" ref="AK388:AK451" si="37">D388</f>
        <v>INV. SOUS-CONTRAT BODY</v>
      </c>
      <c r="AL388" s="905">
        <f>IFERROR(INDEX(G388:R388,1,MATCH(Parametres!$B$3,G$1:R$1,0)-1)*IF(OR(F388="L",F388="S",F388="I"),-1,1),"")</f>
        <v>52212.85</v>
      </c>
      <c r="AM388" s="905">
        <f t="shared" ref="AM388:AM451" si="38">AN388-AL388</f>
        <v>-15814.619999999995</v>
      </c>
      <c r="AN388" s="905">
        <f>INDEX(G388:R388,1,MATCH(Parametres!$B$3,G$1:R$1,0))*IF(OR(F388="L",F388="S",F388="I"),-1,1)</f>
        <v>36398.230000000003</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T451" si="39">C388</f>
        <v>G24601</v>
      </c>
      <c r="AU388" s="488" t="str">
        <f t="shared" ref="AU388:AU451" si="40">D388</f>
        <v>INV. SOUS-CONTRAT BODY</v>
      </c>
      <c r="AV388" s="899">
        <f>IFERROR(INDEX(V388:AG388,1,MATCH(Parametres!$B$3,V$1:AG$1,0)-1)*IF(OR(C388="L",C388="S",C388="I"),-1,1),"")</f>
        <v>0</v>
      </c>
      <c r="AW388" s="899">
        <f t="shared" ref="AW388:AW451" si="41">AX388-AV388</f>
        <v>0</v>
      </c>
      <c r="AX388" s="899">
        <f>INDEX(V388:AG388,1,MATCH(Parametres!$B$3,V$1:AG$1,0))*IF(OR(C388="L",C388="S",C388="I"),-1,1)</f>
        <v>0</v>
      </c>
      <c r="AY388" s="487" t="s">
        <v>337</v>
      </c>
      <c r="AZ388" s="487">
        <f>+VLOOKUP($AJ388,Data_Validation!$A:$E,5,0)</f>
        <v>0</v>
      </c>
    </row>
    <row r="389" spans="1:52" ht="15.75" hidden="1" customHeight="1">
      <c r="A389" s="706" t="s">
        <v>1148</v>
      </c>
      <c r="B389" s="706">
        <v>2025</v>
      </c>
      <c r="C389" s="706" t="s">
        <v>1957</v>
      </c>
      <c r="D389" s="706" t="s">
        <v>1958</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G24700</v>
      </c>
      <c r="AK389" s="905" t="str">
        <f t="shared" si="37"/>
        <v>TRAVAUX EN COURS</v>
      </c>
      <c r="AL389" s="905">
        <f>IFERROR(INDEX(G389:R389,1,MATCH(Parametres!$B$3,G$1:R$1,0)-1)*IF(OR(F389="L",F389="S",F389="I"),-1,1),"")</f>
        <v>5329.63</v>
      </c>
      <c r="AM389" s="905">
        <f t="shared" si="38"/>
        <v>6265.3499999999995</v>
      </c>
      <c r="AN389" s="905">
        <f>INDEX(G389:R389,1,MATCH(Parametres!$B$3,G$1:R$1,0))*IF(OR(F389="L",F389="S",F389="I"),-1,1)</f>
        <v>11594.98</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39"/>
        <v>G24700</v>
      </c>
      <c r="AU389" s="488" t="str">
        <f t="shared" si="40"/>
        <v>TRAVAUX EN COURS</v>
      </c>
      <c r="AV389" s="899">
        <f>IFERROR(INDEX(V389:AG389,1,MATCH(Parametres!$B$3,V$1:AG$1,0)-1)*IF(OR(C389="L",C389="S",C389="I"),-1,1),"")</f>
        <v>0</v>
      </c>
      <c r="AW389" s="899">
        <f t="shared" si="41"/>
        <v>0</v>
      </c>
      <c r="AX389" s="899">
        <f>INDEX(V389:AG389,1,MATCH(Parametres!$B$3,V$1:AG$1,0))*IF(OR(C389="L",C389="S",C389="I"),-1,1)</f>
        <v>0</v>
      </c>
      <c r="AY389" s="487" t="s">
        <v>337</v>
      </c>
      <c r="AZ389" s="487">
        <f>+VLOOKUP($AJ389,Data_Validation!$A:$E,5,0)</f>
        <v>0</v>
      </c>
    </row>
    <row r="390" spans="1:52" ht="15.75" hidden="1" customHeight="1">
      <c r="A390" s="706" t="s">
        <v>1148</v>
      </c>
      <c r="B390" s="706">
        <v>2025</v>
      </c>
      <c r="C390" s="706" t="s">
        <v>1961</v>
      </c>
      <c r="D390" s="706" t="s">
        <v>1962</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G24705</v>
      </c>
      <c r="AK390" s="905" t="str">
        <f t="shared" si="37"/>
        <v>TRAVAUX EN COURS-CARROSS</v>
      </c>
      <c r="AL390" s="905">
        <f>IFERROR(INDEX(G390:R390,1,MATCH(Parametres!$B$3,G$1:R$1,0)-1)*IF(OR(F390="L",F390="S",F390="I"),-1,1),"")</f>
        <v>2012.96</v>
      </c>
      <c r="AM390" s="905">
        <f t="shared" si="38"/>
        <v>4675.1099999999997</v>
      </c>
      <c r="AN390" s="905">
        <f>INDEX(G390:R390,1,MATCH(Parametres!$B$3,G$1:R$1,0))*IF(OR(F390="L",F390="S",F390="I"),-1,1)</f>
        <v>6688.07</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39"/>
        <v>G24705</v>
      </c>
      <c r="AU390" s="488" t="str">
        <f t="shared" si="40"/>
        <v>TRAVAUX EN COURS-CARROSS</v>
      </c>
      <c r="AV390" s="899">
        <f>IFERROR(INDEX(V390:AG390,1,MATCH(Parametres!$B$3,V$1:AG$1,0)-1)*IF(OR(C390="L",C390="S",C390="I"),-1,1),"")</f>
        <v>0</v>
      </c>
      <c r="AW390" s="899">
        <f t="shared" si="41"/>
        <v>0</v>
      </c>
      <c r="AX390" s="899">
        <f>INDEX(V390:AG390,1,MATCH(Parametres!$B$3,V$1:AG$1,0))*IF(OR(C390="L",C390="S",C390="I"),-1,1)</f>
        <v>0</v>
      </c>
      <c r="AY390" s="487" t="s">
        <v>337</v>
      </c>
      <c r="AZ390" s="487">
        <f>+VLOOKUP($AJ390,Data_Validation!$A:$E,5,0)</f>
        <v>0</v>
      </c>
    </row>
    <row r="391" spans="1:52" ht="15.75" hidden="1" customHeight="1">
      <c r="A391" s="706" t="s">
        <v>1148</v>
      </c>
      <c r="B391" s="706">
        <v>2025</v>
      </c>
      <c r="C391" s="706" t="s">
        <v>1965</v>
      </c>
      <c r="D391" s="706" t="s">
        <v>1966</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G25000</v>
      </c>
      <c r="AK391" s="905" t="str">
        <f t="shared" si="37"/>
        <v>A RECEVOIR ROULEZ ELECT</v>
      </c>
      <c r="AL391" s="905">
        <f>IFERROR(INDEX(G391:R391,1,MATCH(Parametres!$B$3,G$1:R$1,0)-1)*IF(OR(F391="L",F391="S",F391="I"),-1,1),"")</f>
        <v>112000</v>
      </c>
      <c r="AM391" s="905">
        <f t="shared" si="38"/>
        <v>-35000</v>
      </c>
      <c r="AN391" s="905">
        <f>INDEX(G391:R391,1,MATCH(Parametres!$B$3,G$1:R$1,0))*IF(OR(F391="L",F391="S",F391="I"),-1,1)</f>
        <v>77000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39"/>
        <v>G25000</v>
      </c>
      <c r="AU391" s="488" t="str">
        <f t="shared" si="40"/>
        <v>A RECEVOIR ROULEZ ELECT</v>
      </c>
      <c r="AV391" s="899">
        <f>IFERROR(INDEX(V391:AG391,1,MATCH(Parametres!$B$3,V$1:AG$1,0)-1)*IF(OR(C391="L",C391="S",C391="I"),-1,1),"")</f>
        <v>0</v>
      </c>
      <c r="AW391" s="899">
        <f t="shared" si="41"/>
        <v>0</v>
      </c>
      <c r="AX391" s="899">
        <f>INDEX(V391:AG391,1,MATCH(Parametres!$B$3,V$1:AG$1,0))*IF(OR(C391="L",C391="S",C391="I"),-1,1)</f>
        <v>0</v>
      </c>
      <c r="AY391" s="487" t="s">
        <v>337</v>
      </c>
      <c r="AZ391" s="487">
        <f>+VLOOKUP($AJ391,Data_Validation!$A:$E,5,0)</f>
        <v>0</v>
      </c>
    </row>
    <row r="392" spans="1:52" ht="15.75" hidden="1" customHeight="1">
      <c r="A392" s="706" t="s">
        <v>1148</v>
      </c>
      <c r="B392" s="706">
        <v>2025</v>
      </c>
      <c r="C392" s="706" t="s">
        <v>1967</v>
      </c>
      <c r="D392" s="706" t="s">
        <v>1968</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G258</v>
      </c>
      <c r="AK392" s="905" t="str">
        <f t="shared" si="37"/>
        <v>PNEUS USAGÉS</v>
      </c>
      <c r="AL392" s="905">
        <f>IFERROR(INDEX(G392:R392,1,MATCH(Parametres!$B$3,G$1:R$1,0)-1)*IF(OR(F392="L",F392="S",F392="I"),-1,1),"")</f>
        <v>0</v>
      </c>
      <c r="AM392" s="905">
        <f t="shared" si="38"/>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39"/>
        <v>G258</v>
      </c>
      <c r="AU392" s="488" t="str">
        <f t="shared" si="40"/>
        <v>PNEUS USAGÉS</v>
      </c>
      <c r="AV392" s="899">
        <f>IFERROR(INDEX(V392:AG392,1,MATCH(Parametres!$B$3,V$1:AG$1,0)-1)*IF(OR(C392="L",C392="S",C392="I"),-1,1),"")</f>
        <v>0</v>
      </c>
      <c r="AW392" s="899">
        <f t="shared" si="41"/>
        <v>0</v>
      </c>
      <c r="AX392" s="899">
        <f>INDEX(V392:AG392,1,MATCH(Parametres!$B$3,V$1:AG$1,0))*IF(OR(C392="L",C392="S",C392="I"),-1,1)</f>
        <v>0</v>
      </c>
      <c r="AY392" s="487" t="s">
        <v>337</v>
      </c>
      <c r="AZ392" s="487" t="e">
        <f>+VLOOKUP($AJ392,Data_Validation!$A:$E,5,0)</f>
        <v>#N/A</v>
      </c>
    </row>
    <row r="393" spans="1:52" ht="15.75" hidden="1" customHeight="1">
      <c r="A393" s="706" t="s">
        <v>1148</v>
      </c>
      <c r="B393" s="706">
        <v>2025</v>
      </c>
      <c r="C393" s="706" t="s">
        <v>1969</v>
      </c>
      <c r="D393" s="706" t="s">
        <v>1970</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G25800</v>
      </c>
      <c r="AK393" s="905" t="str">
        <f t="shared" si="37"/>
        <v>PNEUS COURTOISIES</v>
      </c>
      <c r="AL393" s="905">
        <f>IFERROR(INDEX(G393:R393,1,MATCH(Parametres!$B$3,G$1:R$1,0)-1)*IF(OR(F393="L",F393="S",F393="I"),-1,1),"")</f>
        <v>0</v>
      </c>
      <c r="AM393" s="905">
        <f t="shared" si="38"/>
        <v>0</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39"/>
        <v>G25800</v>
      </c>
      <c r="AU393" s="488" t="str">
        <f t="shared" si="40"/>
        <v>PNEUS COURTOISIES</v>
      </c>
      <c r="AV393" s="899">
        <f>IFERROR(INDEX(V393:AG393,1,MATCH(Parametres!$B$3,V$1:AG$1,0)-1)*IF(OR(C393="L",C393="S",C393="I"),-1,1),"")</f>
        <v>0</v>
      </c>
      <c r="AW393" s="899">
        <f t="shared" si="41"/>
        <v>0</v>
      </c>
      <c r="AX393" s="899">
        <f>INDEX(V393:AG393,1,MATCH(Parametres!$B$3,V$1:AG$1,0))*IF(OR(C393="L",C393="S",C393="I"),-1,1)</f>
        <v>0</v>
      </c>
      <c r="AY393" s="487" t="s">
        <v>337</v>
      </c>
      <c r="AZ393" s="487">
        <f>+VLOOKUP($AJ393,Data_Validation!$A:$E,5,0)</f>
        <v>0</v>
      </c>
    </row>
    <row r="394" spans="1:52" ht="15.75" hidden="1" customHeight="1">
      <c r="A394" s="706" t="s">
        <v>1148</v>
      </c>
      <c r="B394" s="706">
        <v>2025</v>
      </c>
      <c r="C394" s="706" t="s">
        <v>1971</v>
      </c>
      <c r="D394" s="706" t="s">
        <v>1972</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G26000</v>
      </c>
      <c r="AK394" s="905" t="str">
        <f t="shared" si="37"/>
        <v>PORTEFEUILLE</v>
      </c>
      <c r="AL394" s="905">
        <f>IFERROR(INDEX(G394:R394,1,MATCH(Parametres!$B$3,G$1:R$1,0)-1)*IF(OR(F394="L",F394="S",F394="I"),-1,1),"")</f>
        <v>-272876.02</v>
      </c>
      <c r="AM394" s="905">
        <f t="shared" si="38"/>
        <v>0</v>
      </c>
      <c r="AN394" s="905">
        <f>INDEX(G394:R394,1,MATCH(Parametres!$B$3,G$1:R$1,0))*IF(OR(F394="L",F394="S",F394="I"),-1,1)</f>
        <v>-272876.02</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39"/>
        <v>G26000</v>
      </c>
      <c r="AU394" s="488" t="str">
        <f t="shared" si="40"/>
        <v>PORTEFEUILLE</v>
      </c>
      <c r="AV394" s="899">
        <f>IFERROR(INDEX(V394:AG394,1,MATCH(Parametres!$B$3,V$1:AG$1,0)-1)*IF(OR(C394="L",C394="S",C394="I"),-1,1),"")</f>
        <v>0</v>
      </c>
      <c r="AW394" s="899">
        <f t="shared" si="41"/>
        <v>0</v>
      </c>
      <c r="AX394" s="899">
        <f>INDEX(V394:AG394,1,MATCH(Parametres!$B$3,V$1:AG$1,0))*IF(OR(C394="L",C394="S",C394="I"),-1,1)</f>
        <v>0</v>
      </c>
      <c r="AY394" s="487" t="s">
        <v>337</v>
      </c>
      <c r="AZ394" s="487">
        <f>+VLOOKUP($AJ394,Data_Validation!$A:$E,5,0)</f>
        <v>0</v>
      </c>
    </row>
    <row r="395" spans="1:52" ht="15.75" hidden="1" customHeight="1">
      <c r="A395" s="706" t="s">
        <v>1148</v>
      </c>
      <c r="B395" s="706">
        <v>2025</v>
      </c>
      <c r="C395" s="706" t="s">
        <v>1973</v>
      </c>
      <c r="D395" s="706" t="s">
        <v>1974</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G26101</v>
      </c>
      <c r="AK395" s="905" t="str">
        <f t="shared" si="37"/>
        <v>INSPECTIONS (PDI)</v>
      </c>
      <c r="AL395" s="905">
        <f>IFERROR(INDEX(G395:R395,1,MATCH(Parametres!$B$3,G$1:R$1,0)-1)*IF(OR(F395="L",F395="S",F395="I"),-1,1),"")</f>
        <v>-25366.71</v>
      </c>
      <c r="AM395" s="905">
        <f t="shared" si="38"/>
        <v>-7484.32</v>
      </c>
      <c r="AN395" s="905">
        <f>INDEX(G395:R395,1,MATCH(Parametres!$B$3,G$1:R$1,0))*IF(OR(F395="L",F395="S",F395="I"),-1,1)</f>
        <v>-32851.03</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39"/>
        <v>G26101</v>
      </c>
      <c r="AU395" s="488" t="str">
        <f t="shared" si="40"/>
        <v>INSPECTIONS (PDI)</v>
      </c>
      <c r="AV395" s="899">
        <f>IFERROR(INDEX(V395:AG395,1,MATCH(Parametres!$B$3,V$1:AG$1,0)-1)*IF(OR(C395="L",C395="S",C395="I"),-1,1),"")</f>
        <v>0</v>
      </c>
      <c r="AW395" s="899">
        <f t="shared" si="41"/>
        <v>0</v>
      </c>
      <c r="AX395" s="899">
        <f>INDEX(V395:AG395,1,MATCH(Parametres!$B$3,V$1:AG$1,0))*IF(OR(C395="L",C395="S",C395="I"),-1,1)</f>
        <v>0</v>
      </c>
      <c r="AY395" s="487" t="s">
        <v>337</v>
      </c>
      <c r="AZ395" s="487">
        <f>+VLOOKUP($AJ395,Data_Validation!$A:$E,5,0)</f>
        <v>0</v>
      </c>
    </row>
    <row r="396" spans="1:52" ht="15.75" hidden="1" customHeight="1">
      <c r="A396" s="706" t="s">
        <v>1148</v>
      </c>
      <c r="B396" s="706">
        <v>2025</v>
      </c>
      <c r="C396" s="706" t="s">
        <v>1975</v>
      </c>
      <c r="D396" s="706" t="s">
        <v>1976</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G26103</v>
      </c>
      <c r="AK396" s="905" t="str">
        <f t="shared" si="37"/>
        <v>PROGRAMMES DIVERS</v>
      </c>
      <c r="AL396" s="905">
        <f>IFERROR(INDEX(G396:R396,1,MATCH(Parametres!$B$3,G$1:R$1,0)-1)*IF(OR(F396="L",F396="S",F396="I"),-1,1),"")</f>
        <v>316095.13</v>
      </c>
      <c r="AM396" s="905">
        <f t="shared" si="38"/>
        <v>-217123.04</v>
      </c>
      <c r="AN396" s="905">
        <f>INDEX(G396:R396,1,MATCH(Parametres!$B$3,G$1:R$1,0))*IF(OR(F396="L",F396="S",F396="I"),-1,1)</f>
        <v>98972.09</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39"/>
        <v>G26103</v>
      </c>
      <c r="AU396" s="488" t="str">
        <f t="shared" si="40"/>
        <v>PROGRAMMES DIVERS</v>
      </c>
      <c r="AV396" s="899">
        <f>IFERROR(INDEX(V396:AG396,1,MATCH(Parametres!$B$3,V$1:AG$1,0)-1)*IF(OR(C396="L",C396="S",C396="I"),-1,1),"")</f>
        <v>0</v>
      </c>
      <c r="AW396" s="899">
        <f t="shared" si="41"/>
        <v>0</v>
      </c>
      <c r="AX396" s="899">
        <f>INDEX(V396:AG396,1,MATCH(Parametres!$B$3,V$1:AG$1,0))*IF(OR(C396="L",C396="S",C396="I"),-1,1)</f>
        <v>0</v>
      </c>
      <c r="AY396" s="487" t="s">
        <v>337</v>
      </c>
      <c r="AZ396" s="487">
        <f>+VLOOKUP($AJ396,Data_Validation!$A:$E,5,0)</f>
        <v>0</v>
      </c>
    </row>
    <row r="397" spans="1:52" ht="15.75" hidden="1" customHeight="1">
      <c r="A397" s="706" t="s">
        <v>1148</v>
      </c>
      <c r="B397" s="706">
        <v>2025</v>
      </c>
      <c r="C397" s="706" t="s">
        <v>1977</v>
      </c>
      <c r="D397" s="706" t="s">
        <v>1978</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G26104</v>
      </c>
      <c r="AK397" s="905" t="str">
        <f t="shared" si="37"/>
        <v>PROGRAMMES FLOTTES</v>
      </c>
      <c r="AL397" s="905">
        <f>IFERROR(INDEX(G397:R397,1,MATCH(Parametres!$B$3,G$1:R$1,0)-1)*IF(OR(F397="L",F397="S",F397="I"),-1,1),"")</f>
        <v>-64667.06</v>
      </c>
      <c r="AM397" s="905">
        <f t="shared" si="38"/>
        <v>-28548.650000000009</v>
      </c>
      <c r="AN397" s="905">
        <f>INDEX(G397:R397,1,MATCH(Parametres!$B$3,G$1:R$1,0))*IF(OR(F397="L",F397="S",F397="I"),-1,1)</f>
        <v>-93215.71</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39"/>
        <v>G26104</v>
      </c>
      <c r="AU397" s="488" t="str">
        <f t="shared" si="40"/>
        <v>PROGRAMMES FLOTTES</v>
      </c>
      <c r="AV397" s="899">
        <f>IFERROR(INDEX(V397:AG397,1,MATCH(Parametres!$B$3,V$1:AG$1,0)-1)*IF(OR(C397="L",C397="S",C397="I"),-1,1),"")</f>
        <v>0</v>
      </c>
      <c r="AW397" s="899">
        <f t="shared" si="41"/>
        <v>0</v>
      </c>
      <c r="AX397" s="899">
        <f>INDEX(V397:AG397,1,MATCH(Parametres!$B$3,V$1:AG$1,0))*IF(OR(C397="L",C397="S",C397="I"),-1,1)</f>
        <v>0</v>
      </c>
      <c r="AY397" s="487" t="s">
        <v>337</v>
      </c>
      <c r="AZ397" s="487">
        <f>+VLOOKUP($AJ397,Data_Validation!$A:$E,5,0)</f>
        <v>0</v>
      </c>
    </row>
    <row r="398" spans="1:52" ht="15.75" hidden="1" customHeight="1">
      <c r="A398" s="706" t="s">
        <v>1148</v>
      </c>
      <c r="B398" s="706">
        <v>2025</v>
      </c>
      <c r="C398" s="706" t="s">
        <v>1979</v>
      </c>
      <c r="D398" s="706" t="s">
        <v>1980</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G26155</v>
      </c>
      <c r="AK398" s="905" t="str">
        <f t="shared" si="37"/>
        <v>VIGNETTES AUTO / CAMIONS</v>
      </c>
      <c r="AL398" s="905">
        <f>IFERROR(INDEX(G398:R398,1,MATCH(Parametres!$B$3,G$1:R$1,0)-1)*IF(OR(F398="L",F398="S",F398="I"),-1,1),"")</f>
        <v>7164.74</v>
      </c>
      <c r="AM398" s="905">
        <f t="shared" si="38"/>
        <v>15107.4</v>
      </c>
      <c r="AN398" s="905">
        <f>INDEX(G398:R398,1,MATCH(Parametres!$B$3,G$1:R$1,0))*IF(OR(F398="L",F398="S",F398="I"),-1,1)</f>
        <v>22272.14</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39"/>
        <v>G26155</v>
      </c>
      <c r="AU398" s="488" t="str">
        <f t="shared" si="40"/>
        <v>VIGNETTES AUTO / CAMIONS</v>
      </c>
      <c r="AV398" s="899">
        <f>IFERROR(INDEX(V398:AG398,1,MATCH(Parametres!$B$3,V$1:AG$1,0)-1)*IF(OR(C398="L",C398="S",C398="I"),-1,1),"")</f>
        <v>0</v>
      </c>
      <c r="AW398" s="899">
        <f t="shared" si="41"/>
        <v>0</v>
      </c>
      <c r="AX398" s="899">
        <f>INDEX(V398:AG398,1,MATCH(Parametres!$B$3,V$1:AG$1,0))*IF(OR(C398="L",C398="S",C398="I"),-1,1)</f>
        <v>0</v>
      </c>
      <c r="AY398" s="487" t="s">
        <v>337</v>
      </c>
      <c r="AZ398" s="487">
        <f>+VLOOKUP($AJ398,Data_Validation!$A:$E,5,0)</f>
        <v>0</v>
      </c>
    </row>
    <row r="399" spans="1:52" ht="15.75" hidden="1" customHeight="1">
      <c r="A399" s="706" t="s">
        <v>1148</v>
      </c>
      <c r="B399" s="706">
        <v>2025</v>
      </c>
      <c r="C399" s="706" t="s">
        <v>1981</v>
      </c>
      <c r="D399" s="706" t="s">
        <v>1982</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G26300</v>
      </c>
      <c r="AK399" s="905" t="str">
        <f t="shared" si="37"/>
        <v>RECLAMATION EN GARANTIE</v>
      </c>
      <c r="AL399" s="905">
        <f>IFERROR(INDEX(G399:R399,1,MATCH(Parametres!$B$3,G$1:R$1,0)-1)*IF(OR(F399="L",F399="S",F399="I"),-1,1),"")</f>
        <v>9485.8700000000008</v>
      </c>
      <c r="AM399" s="905">
        <f t="shared" si="38"/>
        <v>-3378.6600000000008</v>
      </c>
      <c r="AN399" s="905">
        <f>INDEX(G399:R399,1,MATCH(Parametres!$B$3,G$1:R$1,0))*IF(OR(F399="L",F399="S",F399="I"),-1,1)</f>
        <v>6107.21</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39"/>
        <v>G26300</v>
      </c>
      <c r="AU399" s="488" t="str">
        <f t="shared" si="40"/>
        <v>RECLAMATION EN GARANTIE</v>
      </c>
      <c r="AV399" s="899">
        <f>IFERROR(INDEX(V399:AG399,1,MATCH(Parametres!$B$3,V$1:AG$1,0)-1)*IF(OR(C399="L",C399="S",C399="I"),-1,1),"")</f>
        <v>0</v>
      </c>
      <c r="AW399" s="899">
        <f t="shared" si="41"/>
        <v>0</v>
      </c>
      <c r="AX399" s="899">
        <f>INDEX(V399:AG399,1,MATCH(Parametres!$B$3,V$1:AG$1,0))*IF(OR(C399="L",C399="S",C399="I"),-1,1)</f>
        <v>0</v>
      </c>
      <c r="AY399" s="487" t="s">
        <v>337</v>
      </c>
      <c r="AZ399" s="487">
        <f>+VLOOKUP($AJ399,Data_Validation!$A:$E,5,0)</f>
        <v>0</v>
      </c>
    </row>
    <row r="400" spans="1:52" ht="15.75" hidden="1" customHeight="1">
      <c r="A400" s="706" t="s">
        <v>1148</v>
      </c>
      <c r="B400" s="706">
        <v>2025</v>
      </c>
      <c r="C400" s="706" t="s">
        <v>1983</v>
      </c>
      <c r="D400" s="706" t="s">
        <v>1984</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G26302</v>
      </c>
      <c r="AK400" s="905" t="str">
        <f t="shared" si="37"/>
        <v>RECLAMATIONS P.P.C.</v>
      </c>
      <c r="AL400" s="905">
        <f>IFERROR(INDEX(G400:R400,1,MATCH(Parametres!$B$3,G$1:R$1,0)-1)*IF(OR(F400="L",F400="S",F400="I"),-1,1),"")</f>
        <v>0</v>
      </c>
      <c r="AM400" s="905">
        <f t="shared" si="38"/>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39"/>
        <v>G26302</v>
      </c>
      <c r="AU400" s="488" t="str">
        <f t="shared" si="40"/>
        <v>RECLAMATIONS P.P.C.</v>
      </c>
      <c r="AV400" s="899">
        <f>IFERROR(INDEX(V400:AG400,1,MATCH(Parametres!$B$3,V$1:AG$1,0)-1)*IF(OR(C400="L",C400="S",C400="I"),-1,1),"")</f>
        <v>0</v>
      </c>
      <c r="AW400" s="899">
        <f t="shared" si="41"/>
        <v>0</v>
      </c>
      <c r="AX400" s="899">
        <f>INDEX(V400:AG400,1,MATCH(Parametres!$B$3,V$1:AG$1,0))*IF(OR(C400="L",C400="S",C400="I"),-1,1)</f>
        <v>0</v>
      </c>
      <c r="AY400" s="487" t="s">
        <v>337</v>
      </c>
      <c r="AZ400" s="487" t="e">
        <f>+VLOOKUP($AJ400,Data_Validation!$A:$E,5,0)</f>
        <v>#N/A</v>
      </c>
    </row>
    <row r="401" spans="1:52" ht="15.75" hidden="1" customHeight="1">
      <c r="A401" s="706" t="s">
        <v>1148</v>
      </c>
      <c r="B401" s="706">
        <v>2025</v>
      </c>
      <c r="C401" s="706" t="s">
        <v>1985</v>
      </c>
      <c r="D401" s="706" t="s">
        <v>1986</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G26303</v>
      </c>
      <c r="AK401" s="905" t="str">
        <f t="shared" si="37"/>
        <v>DEDUCTIBLE CLAIMS</v>
      </c>
      <c r="AL401" s="905">
        <f>IFERROR(INDEX(G401:R401,1,MATCH(Parametres!$B$3,G$1:R$1,0)-1)*IF(OR(F401="L",F401="S",F401="I"),-1,1),"")</f>
        <v>0</v>
      </c>
      <c r="AM401" s="905">
        <f t="shared" si="38"/>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G26303</v>
      </c>
      <c r="AU401" s="488" t="str">
        <f t="shared" si="40"/>
        <v>DEDUCTIBLE CLAIMS</v>
      </c>
      <c r="AV401" s="899">
        <f>IFERROR(INDEX(V401:AG401,1,MATCH(Parametres!$B$3,V$1:AG$1,0)-1)*IF(OR(C401="L",C401="S",C401="I"),-1,1),"")</f>
        <v>0</v>
      </c>
      <c r="AW401" s="899">
        <f t="shared" si="41"/>
        <v>0</v>
      </c>
      <c r="AX401" s="899">
        <f>INDEX(V401:AG401,1,MATCH(Parametres!$B$3,V$1:AG$1,0))*IF(OR(C401="L",C401="S",C401="I"),-1,1)</f>
        <v>0</v>
      </c>
      <c r="AY401" s="487" t="s">
        <v>337</v>
      </c>
      <c r="AZ401" s="487" t="e">
        <f>+VLOOKUP($AJ401,Data_Validation!$A:$E,5,0)</f>
        <v>#N/A</v>
      </c>
    </row>
    <row r="402" spans="1:52" ht="15.75" hidden="1" customHeight="1">
      <c r="A402" s="706" t="s">
        <v>1148</v>
      </c>
      <c r="B402" s="706">
        <v>2025</v>
      </c>
      <c r="C402" s="706" t="s">
        <v>1987</v>
      </c>
      <c r="D402" s="706" t="s">
        <v>1988</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G26310</v>
      </c>
      <c r="AK402" s="905" t="str">
        <f t="shared" si="37"/>
        <v>TRANSPORT-TELECON</v>
      </c>
      <c r="AL402" s="905">
        <f>IFERROR(INDEX(G402:R402,1,MATCH(Parametres!$B$3,G$1:R$1,0)-1)*IF(OR(F402="L",F402="S",F402="I"),-1,1),"")</f>
        <v>0</v>
      </c>
      <c r="AM402" s="905">
        <f t="shared" si="38"/>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39"/>
        <v>G26310</v>
      </c>
      <c r="AU402" s="488" t="str">
        <f t="shared" si="40"/>
        <v>TRANSPORT-TELECON</v>
      </c>
      <c r="AV402" s="899">
        <f>IFERROR(INDEX(V402:AG402,1,MATCH(Parametres!$B$3,V$1:AG$1,0)-1)*IF(OR(C402="L",C402="S",C402="I"),-1,1),"")</f>
        <v>0</v>
      </c>
      <c r="AW402" s="899">
        <f t="shared" si="41"/>
        <v>0</v>
      </c>
      <c r="AX402" s="899">
        <f>INDEX(V402:AG402,1,MATCH(Parametres!$B$3,V$1:AG$1,0))*IF(OR(C402="L",C402="S",C402="I"),-1,1)</f>
        <v>0</v>
      </c>
      <c r="AY402" s="487" t="s">
        <v>337</v>
      </c>
      <c r="AZ402" s="487" t="e">
        <f>+VLOOKUP($AJ402,Data_Validation!$A:$E,5,0)</f>
        <v>#N/A</v>
      </c>
    </row>
    <row r="403" spans="1:52" ht="15.75" hidden="1" customHeight="1">
      <c r="A403" s="706" t="s">
        <v>1148</v>
      </c>
      <c r="B403" s="706">
        <v>2025</v>
      </c>
      <c r="C403" s="706" t="s">
        <v>1989</v>
      </c>
      <c r="D403" s="706" t="s">
        <v>1990</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G26500</v>
      </c>
      <c r="AK403" s="905" t="str">
        <f t="shared" si="37"/>
        <v>TPS TVH TVQ À RECEVOIR</v>
      </c>
      <c r="AL403" s="905">
        <f>IFERROR(INDEX(G403:R403,1,MATCH(Parametres!$B$3,G$1:R$1,0)-1)*IF(OR(F403="L",F403="S",F403="I"),-1,1),"")</f>
        <v>181871.69</v>
      </c>
      <c r="AM403" s="905">
        <f t="shared" si="38"/>
        <v>305756.58</v>
      </c>
      <c r="AN403" s="905">
        <f>INDEX(G403:R403,1,MATCH(Parametres!$B$3,G$1:R$1,0))*IF(OR(F403="L",F403="S",F403="I"),-1,1)</f>
        <v>487628.27</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39"/>
        <v>G26500</v>
      </c>
      <c r="AU403" s="488" t="str">
        <f t="shared" si="40"/>
        <v>TPS TVH TVQ À RECEVOIR</v>
      </c>
      <c r="AV403" s="899">
        <f>IFERROR(INDEX(V403:AG403,1,MATCH(Parametres!$B$3,V$1:AG$1,0)-1)*IF(OR(C403="L",C403="S",C403="I"),-1,1),"")</f>
        <v>0</v>
      </c>
      <c r="AW403" s="899">
        <f t="shared" si="41"/>
        <v>0</v>
      </c>
      <c r="AX403" s="899">
        <f>INDEX(V403:AG403,1,MATCH(Parametres!$B$3,V$1:AG$1,0))*IF(OR(C403="L",C403="S",C403="I"),-1,1)</f>
        <v>0</v>
      </c>
      <c r="AY403" s="487" t="s">
        <v>337</v>
      </c>
      <c r="AZ403" s="487">
        <f>+VLOOKUP($AJ403,Data_Validation!$A:$E,5,0)</f>
        <v>0</v>
      </c>
    </row>
    <row r="404" spans="1:52" ht="15.75" hidden="1" customHeight="1">
      <c r="A404" s="706" t="s">
        <v>1148</v>
      </c>
      <c r="B404" s="706">
        <v>2025</v>
      </c>
      <c r="C404" s="706" t="s">
        <v>1991</v>
      </c>
      <c r="D404" s="706" t="s">
        <v>1992</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G27000</v>
      </c>
      <c r="AK404" s="905" t="str">
        <f t="shared" si="37"/>
        <v>TAXES PAYEES D'AVANCE</v>
      </c>
      <c r="AL404" s="905">
        <f>IFERROR(INDEX(G404:R404,1,MATCH(Parametres!$B$3,G$1:R$1,0)-1)*IF(OR(F404="L",F404="S",F404="I"),-1,1),"")</f>
        <v>12531.8</v>
      </c>
      <c r="AM404" s="905">
        <f t="shared" si="38"/>
        <v>-12238</v>
      </c>
      <c r="AN404" s="905">
        <f>INDEX(G404:R404,1,MATCH(Parametres!$B$3,G$1:R$1,0))*IF(OR(F404="L",F404="S",F404="I"),-1,1)</f>
        <v>293.8</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39"/>
        <v>G27000</v>
      </c>
      <c r="AU404" s="488" t="str">
        <f t="shared" si="40"/>
        <v>TAXES PAYEES D'AVANCE</v>
      </c>
      <c r="AV404" s="899">
        <f>IFERROR(INDEX(V404:AG404,1,MATCH(Parametres!$B$3,V$1:AG$1,0)-1)*IF(OR(C404="L",C404="S",C404="I"),-1,1),"")</f>
        <v>0</v>
      </c>
      <c r="AW404" s="899">
        <f t="shared" si="41"/>
        <v>0</v>
      </c>
      <c r="AX404" s="899">
        <f>INDEX(V404:AG404,1,MATCH(Parametres!$B$3,V$1:AG$1,0))*IF(OR(C404="L",C404="S",C404="I"),-1,1)</f>
        <v>0</v>
      </c>
      <c r="AY404" s="487" t="s">
        <v>337</v>
      </c>
      <c r="AZ404" s="487">
        <f>+VLOOKUP($AJ404,Data_Validation!$A:$E,5,0)</f>
        <v>0</v>
      </c>
    </row>
    <row r="405" spans="1:52" ht="15.75" hidden="1" customHeight="1">
      <c r="A405" s="706" t="s">
        <v>1148</v>
      </c>
      <c r="B405" s="706">
        <v>2025</v>
      </c>
      <c r="C405" s="706" t="s">
        <v>1995</v>
      </c>
      <c r="D405" s="706" t="s">
        <v>1996</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G27100</v>
      </c>
      <c r="AK405" s="905" t="str">
        <f t="shared" si="37"/>
        <v>ASSURANCES PAYEES AVANCE</v>
      </c>
      <c r="AL405" s="905">
        <f>IFERROR(INDEX(G405:R405,1,MATCH(Parametres!$B$3,G$1:R$1,0)-1)*IF(OR(F405="L",F405="S",F405="I"),-1,1),"")</f>
        <v>39220.74</v>
      </c>
      <c r="AM405" s="905">
        <f t="shared" si="38"/>
        <v>-13073.609999999997</v>
      </c>
      <c r="AN405" s="905">
        <f>INDEX(G405:R405,1,MATCH(Parametres!$B$3,G$1:R$1,0))*IF(OR(F405="L",F405="S",F405="I"),-1,1)</f>
        <v>26147.13</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39"/>
        <v>G27100</v>
      </c>
      <c r="AU405" s="488" t="str">
        <f t="shared" si="40"/>
        <v>ASSURANCES PAYEES AVANCE</v>
      </c>
      <c r="AV405" s="899">
        <f>IFERROR(INDEX(V405:AG405,1,MATCH(Parametres!$B$3,V$1:AG$1,0)-1)*IF(OR(C405="L",C405="S",C405="I"),-1,1),"")</f>
        <v>0</v>
      </c>
      <c r="AW405" s="899">
        <f t="shared" si="41"/>
        <v>0</v>
      </c>
      <c r="AX405" s="899">
        <f>INDEX(V405:AG405,1,MATCH(Parametres!$B$3,V$1:AG$1,0))*IF(OR(C405="L",C405="S",C405="I"),-1,1)</f>
        <v>0</v>
      </c>
      <c r="AY405" s="487" t="s">
        <v>337</v>
      </c>
      <c r="AZ405" s="487">
        <f>+VLOOKUP($AJ405,Data_Validation!$A:$E,5,0)</f>
        <v>0</v>
      </c>
    </row>
    <row r="406" spans="1:52" ht="15.75" hidden="1" customHeight="1">
      <c r="A406" s="706" t="s">
        <v>1148</v>
      </c>
      <c r="B406" s="706">
        <v>2025</v>
      </c>
      <c r="C406" s="706" t="s">
        <v>1997</v>
      </c>
      <c r="D406" s="706" t="s">
        <v>1998</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G27400</v>
      </c>
      <c r="AK406" s="905" t="str">
        <f t="shared" si="37"/>
        <v>FRAIS PAYES AVANCE AUTRES</v>
      </c>
      <c r="AL406" s="905">
        <f>IFERROR(INDEX(G406:R406,1,MATCH(Parametres!$B$3,G$1:R$1,0)-1)*IF(OR(F406="L",F406="S",F406="I"),-1,1),"")</f>
        <v>123082.24000000001</v>
      </c>
      <c r="AM406" s="905">
        <f t="shared" si="38"/>
        <v>34582.289999999994</v>
      </c>
      <c r="AN406" s="905">
        <f>INDEX(G406:R406,1,MATCH(Parametres!$B$3,G$1:R$1,0))*IF(OR(F406="L",F406="S",F406="I"),-1,1)</f>
        <v>157664.53</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39"/>
        <v>G27400</v>
      </c>
      <c r="AU406" s="488" t="str">
        <f t="shared" si="40"/>
        <v>FRAIS PAYES AVANCE AUTRES</v>
      </c>
      <c r="AV406" s="899">
        <f>IFERROR(INDEX(V406:AG406,1,MATCH(Parametres!$B$3,V$1:AG$1,0)-1)*IF(OR(C406="L",C406="S",C406="I"),-1,1),"")</f>
        <v>0</v>
      </c>
      <c r="AW406" s="899">
        <f t="shared" si="41"/>
        <v>0</v>
      </c>
      <c r="AX406" s="899">
        <f>INDEX(V406:AG406,1,MATCH(Parametres!$B$3,V$1:AG$1,0))*IF(OR(C406="L",C406="S",C406="I"),-1,1)</f>
        <v>0</v>
      </c>
      <c r="AY406" s="487" t="s">
        <v>337</v>
      </c>
      <c r="AZ406" s="487">
        <f>+VLOOKUP($AJ406,Data_Validation!$A:$E,5,0)</f>
        <v>0</v>
      </c>
    </row>
    <row r="407" spans="1:52" ht="15.75" hidden="1" customHeight="1">
      <c r="A407" s="706" t="s">
        <v>1148</v>
      </c>
      <c r="B407" s="706">
        <v>2025</v>
      </c>
      <c r="C407" s="706" t="s">
        <v>1999</v>
      </c>
      <c r="D407" s="706" t="s">
        <v>2000</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G27401</v>
      </c>
      <c r="AK407" s="905" t="str">
        <f t="shared" si="37"/>
        <v>DEPOT PAYÉ D'AVANCE</v>
      </c>
      <c r="AL407" s="905">
        <f>IFERROR(INDEX(G407:R407,1,MATCH(Parametres!$B$3,G$1:R$1,0)-1)*IF(OR(F407="L",F407="S",F407="I"),-1,1),"")</f>
        <v>0</v>
      </c>
      <c r="AM407" s="905">
        <f t="shared" si="38"/>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39"/>
        <v>G27401</v>
      </c>
      <c r="AU407" s="488" t="str">
        <f t="shared" si="40"/>
        <v>DEPOT PAYÉ D'AVANCE</v>
      </c>
      <c r="AV407" s="899">
        <f>IFERROR(INDEX(V407:AG407,1,MATCH(Parametres!$B$3,V$1:AG$1,0)-1)*IF(OR(C407="L",C407="S",C407="I"),-1,1),"")</f>
        <v>0</v>
      </c>
      <c r="AW407" s="899">
        <f t="shared" si="41"/>
        <v>0</v>
      </c>
      <c r="AX407" s="899">
        <f>INDEX(V407:AG407,1,MATCH(Parametres!$B$3,V$1:AG$1,0))*IF(OR(C407="L",C407="S",C407="I"),-1,1)</f>
        <v>0</v>
      </c>
      <c r="AY407" s="487" t="s">
        <v>337</v>
      </c>
      <c r="AZ407" s="487" t="e">
        <f>+VLOOKUP($AJ407,Data_Validation!$A:$E,5,0)</f>
        <v>#N/A</v>
      </c>
    </row>
    <row r="408" spans="1:52" ht="15.75" hidden="1" customHeight="1">
      <c r="A408" s="706" t="s">
        <v>1148</v>
      </c>
      <c r="B408" s="706">
        <v>2025</v>
      </c>
      <c r="C408" s="706" t="s">
        <v>2013</v>
      </c>
      <c r="D408" s="706" t="s">
        <v>2014</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G27700</v>
      </c>
      <c r="AK408" s="905" t="str">
        <f t="shared" si="37"/>
        <v>INV VEHICULE EN LOCATION</v>
      </c>
      <c r="AL408" s="905">
        <f>IFERROR(INDEX(G408:R408,1,MATCH(Parametres!$B$3,G$1:R$1,0)-1)*IF(OR(F408="L",F408="S",F408="I"),-1,1),"")</f>
        <v>0</v>
      </c>
      <c r="AM408" s="905">
        <f t="shared" si="38"/>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39"/>
        <v>G27700</v>
      </c>
      <c r="AU408" s="488" t="str">
        <f t="shared" si="40"/>
        <v>INV VEHICULE EN LOCATION</v>
      </c>
      <c r="AV408" s="899">
        <f>IFERROR(INDEX(V408:AG408,1,MATCH(Parametres!$B$3,V$1:AG$1,0)-1)*IF(OR(C408="L",C408="S",C408="I"),-1,1),"")</f>
        <v>0</v>
      </c>
      <c r="AW408" s="899">
        <f t="shared" si="41"/>
        <v>0</v>
      </c>
      <c r="AX408" s="899">
        <f>INDEX(V408:AG408,1,MATCH(Parametres!$B$3,V$1:AG$1,0))*IF(OR(C408="L",C408="S",C408="I"),-1,1)</f>
        <v>0</v>
      </c>
      <c r="AY408" s="487" t="s">
        <v>337</v>
      </c>
      <c r="AZ408" s="487" t="e">
        <f>+VLOOKUP($AJ408,Data_Validation!$A:$E,5,0)</f>
        <v>#N/A</v>
      </c>
    </row>
    <row r="409" spans="1:52" ht="15.75" hidden="1" customHeight="1">
      <c r="A409" s="706" t="s">
        <v>1148</v>
      </c>
      <c r="B409" s="706">
        <v>2025</v>
      </c>
      <c r="C409" s="706" t="s">
        <v>2015</v>
      </c>
      <c r="D409" s="706" t="s">
        <v>2016</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G27701</v>
      </c>
      <c r="AK409" s="905" t="str">
        <f t="shared" si="37"/>
        <v>AMORT. ACC. VEH. LOCATION</v>
      </c>
      <c r="AL409" s="905">
        <f>IFERROR(INDEX(G409:R409,1,MATCH(Parametres!$B$3,G$1:R$1,0)-1)*IF(OR(F409="L",F409="S",F409="I"),-1,1),"")</f>
        <v>0</v>
      </c>
      <c r="AM409" s="905">
        <f t="shared" si="38"/>
        <v>0</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39"/>
        <v>G27701</v>
      </c>
      <c r="AU409" s="488" t="str">
        <f t="shared" si="40"/>
        <v>AMORT. ACC. VEH. LOCATION</v>
      </c>
      <c r="AV409" s="899">
        <f>IFERROR(INDEX(V409:AG409,1,MATCH(Parametres!$B$3,V$1:AG$1,0)-1)*IF(OR(C409="L",C409="S",C409="I"),-1,1),"")</f>
        <v>0</v>
      </c>
      <c r="AW409" s="899">
        <f t="shared" si="41"/>
        <v>0</v>
      </c>
      <c r="AX409" s="899">
        <f>INDEX(V409:AG409,1,MATCH(Parametres!$B$3,V$1:AG$1,0))*IF(OR(C409="L",C409="S",C409="I"),-1,1)</f>
        <v>0</v>
      </c>
      <c r="AY409" s="487" t="s">
        <v>337</v>
      </c>
      <c r="AZ409" s="487">
        <f>+VLOOKUP($AJ409,Data_Validation!$A:$E,5,0)</f>
        <v>0</v>
      </c>
    </row>
    <row r="410" spans="1:52" ht="15.75" hidden="1" customHeight="1">
      <c r="A410" s="706" t="s">
        <v>1148</v>
      </c>
      <c r="B410" s="706">
        <v>2025</v>
      </c>
      <c r="C410" s="706" t="s">
        <v>2017</v>
      </c>
      <c r="D410" s="706" t="s">
        <v>2018</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G28200</v>
      </c>
      <c r="AK410" s="905" t="str">
        <f t="shared" si="37"/>
        <v>MACHINERIE EQUIP. ATELIER</v>
      </c>
      <c r="AL410" s="905">
        <f>IFERROR(INDEX(G410:R410,1,MATCH(Parametres!$B$3,G$1:R$1,0)-1)*IF(OR(F410="L",F410="S",F410="I"),-1,1),"")</f>
        <v>1710020.63</v>
      </c>
      <c r="AM410" s="905">
        <f t="shared" si="38"/>
        <v>1431.9500000001863</v>
      </c>
      <c r="AN410" s="905">
        <f>INDEX(G410:R410,1,MATCH(Parametres!$B$3,G$1:R$1,0))*IF(OR(F410="L",F410="S",F410="I"),-1,1)</f>
        <v>1711452.58</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39"/>
        <v>G28200</v>
      </c>
      <c r="AU410" s="488" t="str">
        <f t="shared" si="40"/>
        <v>MACHINERIE EQUIP. ATELIER</v>
      </c>
      <c r="AV410" s="899">
        <f>IFERROR(INDEX(V410:AG410,1,MATCH(Parametres!$B$3,V$1:AG$1,0)-1)*IF(OR(C410="L",C410="S",C410="I"),-1,1),"")</f>
        <v>0</v>
      </c>
      <c r="AW410" s="899">
        <f t="shared" si="41"/>
        <v>0</v>
      </c>
      <c r="AX410" s="899">
        <f>INDEX(V410:AG410,1,MATCH(Parametres!$B$3,V$1:AG$1,0))*IF(OR(C410="L",C410="S",C410="I"),-1,1)</f>
        <v>0</v>
      </c>
      <c r="AY410" s="487" t="s">
        <v>337</v>
      </c>
      <c r="AZ410" s="487">
        <f>+VLOOKUP($AJ410,Data_Validation!$A:$E,5,0)</f>
        <v>0</v>
      </c>
    </row>
    <row r="411" spans="1:52" ht="15.75" hidden="1" customHeight="1">
      <c r="A411" s="706" t="s">
        <v>1148</v>
      </c>
      <c r="B411" s="706">
        <v>2025</v>
      </c>
      <c r="C411" s="706" t="s">
        <v>2021</v>
      </c>
      <c r="D411" s="706" t="s">
        <v>2022</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G28300</v>
      </c>
      <c r="AK411" s="905" t="str">
        <f t="shared" si="37"/>
        <v>PNEUS ET ACC.DEMO/COURT</v>
      </c>
      <c r="AL411" s="905">
        <f>IFERROR(INDEX(G411:R411,1,MATCH(Parametres!$B$3,G$1:R$1,0)-1)*IF(OR(F411="L",F411="S",F411="I"),-1,1),"")</f>
        <v>8033.37</v>
      </c>
      <c r="AM411" s="905">
        <f t="shared" si="38"/>
        <v>0</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39"/>
        <v>G28300</v>
      </c>
      <c r="AU411" s="488" t="str">
        <f t="shared" si="40"/>
        <v>PNEUS ET ACC.DEMO/COURT</v>
      </c>
      <c r="AV411" s="899">
        <f>IFERROR(INDEX(V411:AG411,1,MATCH(Parametres!$B$3,V$1:AG$1,0)-1)*IF(OR(C411="L",C411="S",C411="I"),-1,1),"")</f>
        <v>0</v>
      </c>
      <c r="AW411" s="899">
        <f t="shared" si="41"/>
        <v>0</v>
      </c>
      <c r="AX411" s="899">
        <f>INDEX(V411:AG411,1,MATCH(Parametres!$B$3,V$1:AG$1,0))*IF(OR(C411="L",C411="S",C411="I"),-1,1)</f>
        <v>0</v>
      </c>
      <c r="AY411" s="487" t="s">
        <v>337</v>
      </c>
      <c r="AZ411" s="487">
        <f>+VLOOKUP($AJ411,Data_Validation!$A:$E,5,0)</f>
        <v>0</v>
      </c>
    </row>
    <row r="412" spans="1:52" ht="15.75" hidden="1" customHeight="1">
      <c r="A412" s="706" t="s">
        <v>1148</v>
      </c>
      <c r="B412" s="706">
        <v>2025</v>
      </c>
      <c r="C412" s="706" t="s">
        <v>2023</v>
      </c>
      <c r="D412" s="706" t="s">
        <v>2024</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G28400</v>
      </c>
      <c r="AK412" s="905" t="str">
        <f t="shared" si="37"/>
        <v>MOBILIER &amp; EQUIP BUREAU</v>
      </c>
      <c r="AL412" s="905">
        <f>IFERROR(INDEX(G412:R412,1,MATCH(Parametres!$B$3,G$1:R$1,0)-1)*IF(OR(F412="L",F412="S",F412="I"),-1,1),"")</f>
        <v>367060.54</v>
      </c>
      <c r="AM412" s="905">
        <f t="shared" si="38"/>
        <v>-382.98999999999069</v>
      </c>
      <c r="AN412" s="905">
        <f>INDEX(G412:R412,1,MATCH(Parametres!$B$3,G$1:R$1,0))*IF(OR(F412="L",F412="S",F412="I"),-1,1)</f>
        <v>366677.55</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39"/>
        <v>G28400</v>
      </c>
      <c r="AU412" s="488" t="str">
        <f t="shared" si="40"/>
        <v>MOBILIER &amp; EQUIP BUREAU</v>
      </c>
      <c r="AV412" s="899">
        <f>IFERROR(INDEX(V412:AG412,1,MATCH(Parametres!$B$3,V$1:AG$1,0)-1)*IF(OR(C412="L",C412="S",C412="I"),-1,1),"")</f>
        <v>0</v>
      </c>
      <c r="AW412" s="899">
        <f t="shared" si="41"/>
        <v>0</v>
      </c>
      <c r="AX412" s="899">
        <f>INDEX(V412:AG412,1,MATCH(Parametres!$B$3,V$1:AG$1,0))*IF(OR(C412="L",C412="S",C412="I"),-1,1)</f>
        <v>0</v>
      </c>
      <c r="AY412" s="487" t="s">
        <v>337</v>
      </c>
      <c r="AZ412" s="487">
        <f>+VLOOKUP($AJ412,Data_Validation!$A:$E,5,0)</f>
        <v>0</v>
      </c>
    </row>
    <row r="413" spans="1:52" ht="15.75" hidden="1" customHeight="1">
      <c r="A413" s="706" t="s">
        <v>1148</v>
      </c>
      <c r="B413" s="706">
        <v>2025</v>
      </c>
      <c r="C413" s="706" t="s">
        <v>2025</v>
      </c>
      <c r="D413" s="706" t="s">
        <v>2026</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G28500</v>
      </c>
      <c r="AK413" s="905" t="str">
        <f t="shared" si="37"/>
        <v>LIFT PIECES / TRACTEUR</v>
      </c>
      <c r="AL413" s="905">
        <f>IFERROR(INDEX(G413:R413,1,MATCH(Parametres!$B$3,G$1:R$1,0)-1)*IF(OR(F413="L",F413="S",F413="I"),-1,1),"")</f>
        <v>125277.95</v>
      </c>
      <c r="AM413" s="905">
        <f t="shared" si="38"/>
        <v>0</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39"/>
        <v>G28500</v>
      </c>
      <c r="AU413" s="488" t="str">
        <f t="shared" si="40"/>
        <v>LIFT PIECES / TRACTEUR</v>
      </c>
      <c r="AV413" s="899">
        <f>IFERROR(INDEX(V413:AG413,1,MATCH(Parametres!$B$3,V$1:AG$1,0)-1)*IF(OR(C413="L",C413="S",C413="I"),-1,1),"")</f>
        <v>0</v>
      </c>
      <c r="AW413" s="899">
        <f t="shared" si="41"/>
        <v>0</v>
      </c>
      <c r="AX413" s="899">
        <f>INDEX(V413:AG413,1,MATCH(Parametres!$B$3,V$1:AG$1,0))*IF(OR(C413="L",C413="S",C413="I"),-1,1)</f>
        <v>0</v>
      </c>
      <c r="AY413" s="487" t="s">
        <v>337</v>
      </c>
      <c r="AZ413" s="487">
        <f>+VLOOKUP($AJ413,Data_Validation!$A:$E,5,0)</f>
        <v>0</v>
      </c>
    </row>
    <row r="414" spans="1:52" ht="15.75" hidden="1" customHeight="1">
      <c r="A414" s="706" t="s">
        <v>1148</v>
      </c>
      <c r="B414" s="706">
        <v>2025</v>
      </c>
      <c r="C414" s="706" t="s">
        <v>2027</v>
      </c>
      <c r="D414" s="706" t="s">
        <v>2028</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G28600</v>
      </c>
      <c r="AK414" s="905" t="str">
        <f t="shared" si="37"/>
        <v>BATIMENT</v>
      </c>
      <c r="AL414" s="905">
        <f>IFERROR(INDEX(G414:R414,1,MATCH(Parametres!$B$3,G$1:R$1,0)-1)*IF(OR(F414="L",F414="S",F414="I"),-1,1),"")</f>
        <v>207362.34</v>
      </c>
      <c r="AM414" s="905">
        <f t="shared" si="38"/>
        <v>0</v>
      </c>
      <c r="AN414" s="905">
        <f>INDEX(G414:R414,1,MATCH(Parametres!$B$3,G$1:R$1,0))*IF(OR(F414="L",F414="S",F414="I"),-1,1)</f>
        <v>207362.34</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39"/>
        <v>G28600</v>
      </c>
      <c r="AU414" s="488" t="str">
        <f t="shared" si="40"/>
        <v>BATIMENT</v>
      </c>
      <c r="AV414" s="899">
        <f>IFERROR(INDEX(V414:AG414,1,MATCH(Parametres!$B$3,V$1:AG$1,0)-1)*IF(OR(C414="L",C414="S",C414="I"),-1,1),"")</f>
        <v>0</v>
      </c>
      <c r="AW414" s="899">
        <f t="shared" si="41"/>
        <v>0</v>
      </c>
      <c r="AX414" s="899">
        <f>INDEX(V414:AG414,1,MATCH(Parametres!$B$3,V$1:AG$1,0))*IF(OR(C414="L",C414="S",C414="I"),-1,1)</f>
        <v>0</v>
      </c>
      <c r="AY414" s="487" t="s">
        <v>337</v>
      </c>
      <c r="AZ414" s="487">
        <f>+VLOOKUP($AJ414,Data_Validation!$A:$E,5,0)</f>
        <v>0</v>
      </c>
    </row>
    <row r="415" spans="1:52" ht="15.75" hidden="1" customHeight="1">
      <c r="A415" s="706" t="s">
        <v>1148</v>
      </c>
      <c r="B415" s="706">
        <v>2025</v>
      </c>
      <c r="C415" s="706" t="s">
        <v>2029</v>
      </c>
      <c r="D415" s="706" t="s">
        <v>2030</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G28700</v>
      </c>
      <c r="AK415" s="905" t="str">
        <f t="shared" si="37"/>
        <v>MATERIEL INFORMATIQUE</v>
      </c>
      <c r="AL415" s="905">
        <f>IFERROR(INDEX(G415:R415,1,MATCH(Parametres!$B$3,G$1:R$1,0)-1)*IF(OR(F415="L",F415="S",F415="I"),-1,1),"")</f>
        <v>256011.99</v>
      </c>
      <c r="AM415" s="905">
        <f t="shared" si="38"/>
        <v>1400.1100000000151</v>
      </c>
      <c r="AN415" s="905">
        <f>INDEX(G415:R415,1,MATCH(Parametres!$B$3,G$1:R$1,0))*IF(OR(F415="L",F415="S",F415="I"),-1,1)</f>
        <v>257412.1</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39"/>
        <v>G28700</v>
      </c>
      <c r="AU415" s="488" t="str">
        <f t="shared" si="40"/>
        <v>MATERIEL INFORMATIQUE</v>
      </c>
      <c r="AV415" s="899">
        <f>IFERROR(INDEX(V415:AG415,1,MATCH(Parametres!$B$3,V$1:AG$1,0)-1)*IF(OR(C415="L",C415="S",C415="I"),-1,1),"")</f>
        <v>0</v>
      </c>
      <c r="AW415" s="899">
        <f t="shared" si="41"/>
        <v>0</v>
      </c>
      <c r="AX415" s="899">
        <f>INDEX(V415:AG415,1,MATCH(Parametres!$B$3,V$1:AG$1,0))*IF(OR(C415="L",C415="S",C415="I"),-1,1)</f>
        <v>0</v>
      </c>
      <c r="AY415" s="487" t="s">
        <v>337</v>
      </c>
      <c r="AZ415" s="487">
        <f>+VLOOKUP($AJ415,Data_Validation!$A:$E,5,0)</f>
        <v>0</v>
      </c>
    </row>
    <row r="416" spans="1:52" ht="15.75" hidden="1" customHeight="1">
      <c r="A416" s="706" t="s">
        <v>1148</v>
      </c>
      <c r="B416" s="706">
        <v>2025</v>
      </c>
      <c r="C416" s="706" t="s">
        <v>2031</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G28800</v>
      </c>
      <c r="AK416" s="905" t="str">
        <f t="shared" si="37"/>
        <v>ENSEIGNES</v>
      </c>
      <c r="AL416" s="905">
        <f>IFERROR(INDEX(G416:R416,1,MATCH(Parametres!$B$3,G$1:R$1,0)-1)*IF(OR(F416="L",F416="S",F416="I"),-1,1),"")</f>
        <v>55976.71</v>
      </c>
      <c r="AM416" s="905">
        <f t="shared" si="38"/>
        <v>0</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39"/>
        <v>G28800</v>
      </c>
      <c r="AU416" s="488" t="str">
        <f t="shared" si="40"/>
        <v>ENSEIGNES</v>
      </c>
      <c r="AV416" s="899">
        <f>IFERROR(INDEX(V416:AG416,1,MATCH(Parametres!$B$3,V$1:AG$1,0)-1)*IF(OR(C416="L",C416="S",C416="I"),-1,1),"")</f>
        <v>0</v>
      </c>
      <c r="AW416" s="899">
        <f t="shared" si="41"/>
        <v>0</v>
      </c>
      <c r="AX416" s="899">
        <f>INDEX(V416:AG416,1,MATCH(Parametres!$B$3,V$1:AG$1,0))*IF(OR(C416="L",C416="S",C416="I"),-1,1)</f>
        <v>0</v>
      </c>
      <c r="AY416" s="487" t="s">
        <v>337</v>
      </c>
      <c r="AZ416" s="487">
        <f>+VLOOKUP($AJ416,Data_Validation!$A:$E,5,0)</f>
        <v>0</v>
      </c>
    </row>
    <row r="417" spans="1:52" ht="15.75" hidden="1" customHeight="1">
      <c r="A417" s="706" t="s">
        <v>1148</v>
      </c>
      <c r="B417" s="706">
        <v>2025</v>
      </c>
      <c r="C417" s="706" t="s">
        <v>2032</v>
      </c>
      <c r="D417" s="706" t="s">
        <v>2033</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G28900</v>
      </c>
      <c r="AK417" s="905" t="str">
        <f t="shared" si="37"/>
        <v>ASPHALTE</v>
      </c>
      <c r="AL417" s="905">
        <f>IFERROR(INDEX(G417:R417,1,MATCH(Parametres!$B$3,G$1:R$1,0)-1)*IF(OR(F417="L",F417="S",F417="I"),-1,1),"")</f>
        <v>0</v>
      </c>
      <c r="AM417" s="905">
        <f t="shared" si="38"/>
        <v>0</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39"/>
        <v>G28900</v>
      </c>
      <c r="AU417" s="488" t="str">
        <f t="shared" si="40"/>
        <v>ASPHALTE</v>
      </c>
      <c r="AV417" s="899">
        <f>IFERROR(INDEX(V417:AG417,1,MATCH(Parametres!$B$3,V$1:AG$1,0)-1)*IF(OR(C417="L",C417="S",C417="I"),-1,1),"")</f>
        <v>0</v>
      </c>
      <c r="AW417" s="899">
        <f t="shared" si="41"/>
        <v>0</v>
      </c>
      <c r="AX417" s="899">
        <f>INDEX(V417:AG417,1,MATCH(Parametres!$B$3,V$1:AG$1,0))*IF(OR(C417="L",C417="S",C417="I"),-1,1)</f>
        <v>0</v>
      </c>
      <c r="AY417" s="487" t="s">
        <v>337</v>
      </c>
      <c r="AZ417" s="487">
        <f>+VLOOKUP($AJ417,Data_Validation!$A:$E,5,0)</f>
        <v>0</v>
      </c>
    </row>
    <row r="418" spans="1:52" ht="15.75" hidden="1" customHeight="1">
      <c r="A418" s="706" t="s">
        <v>1148</v>
      </c>
      <c r="B418" s="706">
        <v>2025</v>
      </c>
      <c r="C418" s="706" t="s">
        <v>2034</v>
      </c>
      <c r="D418" s="706" t="s">
        <v>2035</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G29300</v>
      </c>
      <c r="AK418" s="905" t="str">
        <f t="shared" si="37"/>
        <v>BILLETS &amp; C/R ADMINIS.</v>
      </c>
      <c r="AL418" s="905">
        <f>IFERROR(INDEX(G418:R418,1,MATCH(Parametres!$B$3,G$1:R$1,0)-1)*IF(OR(F418="L",F418="S",F418="I"),-1,1),"")</f>
        <v>12974</v>
      </c>
      <c r="AM418" s="905">
        <f t="shared" si="38"/>
        <v>0</v>
      </c>
      <c r="AN418" s="905">
        <f>INDEX(G418:R418,1,MATCH(Parametres!$B$3,G$1:R$1,0))*IF(OR(F418="L",F418="S",F418="I"),-1,1)</f>
        <v>12974</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39"/>
        <v>G29300</v>
      </c>
      <c r="AU418" s="488" t="str">
        <f t="shared" si="40"/>
        <v>BILLETS &amp; C/R ADMINIS.</v>
      </c>
      <c r="AV418" s="899">
        <f>IFERROR(INDEX(V418:AG418,1,MATCH(Parametres!$B$3,V$1:AG$1,0)-1)*IF(OR(C418="L",C418="S",C418="I"),-1,1),"")</f>
        <v>0</v>
      </c>
      <c r="AW418" s="899">
        <f t="shared" si="41"/>
        <v>0</v>
      </c>
      <c r="AX418" s="899">
        <f>INDEX(V418:AG418,1,MATCH(Parametres!$B$3,V$1:AG$1,0))*IF(OR(C418="L",C418="S",C418="I"),-1,1)</f>
        <v>0</v>
      </c>
      <c r="AY418" s="487" t="s">
        <v>337</v>
      </c>
      <c r="AZ418" s="487">
        <f>+VLOOKUP($AJ418,Data_Validation!$A:$E,5,0)</f>
        <v>0</v>
      </c>
    </row>
    <row r="419" spans="1:52" ht="15.75" hidden="1" customHeight="1">
      <c r="A419" s="706" t="s">
        <v>1148</v>
      </c>
      <c r="B419" s="706">
        <v>2025</v>
      </c>
      <c r="C419" s="706" t="s">
        <v>2036</v>
      </c>
      <c r="D419" s="706" t="s">
        <v>2037</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G29400</v>
      </c>
      <c r="AK419" s="905" t="str">
        <f t="shared" si="37"/>
        <v>EPARGNE BULK</v>
      </c>
      <c r="AL419" s="905">
        <f>IFERROR(INDEX(G419:R419,1,MATCH(Parametres!$B$3,G$1:R$1,0)-1)*IF(OR(F419="L",F419="S",F419="I"),-1,1),"")</f>
        <v>9000000</v>
      </c>
      <c r="AM419" s="905">
        <f t="shared" si="38"/>
        <v>-5500000</v>
      </c>
      <c r="AN419" s="905">
        <f>INDEX(G419:R419,1,MATCH(Parametres!$B$3,G$1:R$1,0))*IF(OR(F419="L",F419="S",F419="I"),-1,1)</f>
        <v>3500000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39"/>
        <v>G29400</v>
      </c>
      <c r="AU419" s="488" t="str">
        <f t="shared" si="40"/>
        <v>EPARGNE BULK</v>
      </c>
      <c r="AV419" s="899">
        <f>IFERROR(INDEX(V419:AG419,1,MATCH(Parametres!$B$3,V$1:AG$1,0)-1)*IF(OR(C419="L",C419="S",C419="I"),-1,1),"")</f>
        <v>0</v>
      </c>
      <c r="AW419" s="899">
        <f t="shared" si="41"/>
        <v>0</v>
      </c>
      <c r="AX419" s="899">
        <f>INDEX(V419:AG419,1,MATCH(Parametres!$B$3,V$1:AG$1,0))*IF(OR(C419="L",C419="S",C419="I"),-1,1)</f>
        <v>0</v>
      </c>
      <c r="AY419" s="487" t="s">
        <v>337</v>
      </c>
      <c r="AZ419" s="487">
        <f>+VLOOKUP($AJ419,Data_Validation!$A:$E,5,0)</f>
        <v>0</v>
      </c>
    </row>
    <row r="420" spans="1:52" ht="15.75" hidden="1" customHeight="1">
      <c r="A420" s="706" t="s">
        <v>1148</v>
      </c>
      <c r="B420" s="706">
        <v>2025</v>
      </c>
      <c r="C420" s="706" t="s">
        <v>2038</v>
      </c>
      <c r="D420" s="706" t="s">
        <v>2039</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G29600</v>
      </c>
      <c r="AK420" s="905" t="str">
        <f t="shared" si="37"/>
        <v>AUTRES PLACEMENTS &amp; BIENS</v>
      </c>
      <c r="AL420" s="905">
        <f>IFERROR(INDEX(G420:R420,1,MATCH(Parametres!$B$3,G$1:R$1,0)-1)*IF(OR(F420="L",F420="S",F420="I"),-1,1),"")</f>
        <v>2000</v>
      </c>
      <c r="AM420" s="905">
        <f t="shared" si="38"/>
        <v>0</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39"/>
        <v>G29600</v>
      </c>
      <c r="AU420" s="488" t="str">
        <f t="shared" si="40"/>
        <v>AUTRES PLACEMENTS &amp; BIENS</v>
      </c>
      <c r="AV420" s="899">
        <f>IFERROR(INDEX(V420:AG420,1,MATCH(Parametres!$B$3,V$1:AG$1,0)-1)*IF(OR(C420="L",C420="S",C420="I"),-1,1),"")</f>
        <v>0</v>
      </c>
      <c r="AW420" s="899">
        <f t="shared" si="41"/>
        <v>0</v>
      </c>
      <c r="AX420" s="899">
        <f>INDEX(V420:AG420,1,MATCH(Parametres!$B$3,V$1:AG$1,0))*IF(OR(C420="L",C420="S",C420="I"),-1,1)</f>
        <v>0</v>
      </c>
      <c r="AY420" s="487" t="s">
        <v>337</v>
      </c>
      <c r="AZ420" s="487">
        <f>+VLOOKUP($AJ420,Data_Validation!$A:$E,5,0)</f>
        <v>0</v>
      </c>
    </row>
    <row r="421" spans="1:52" ht="15.75" hidden="1" customHeight="1">
      <c r="A421" s="706" t="s">
        <v>1148</v>
      </c>
      <c r="B421" s="706">
        <v>2025</v>
      </c>
      <c r="C421" s="706" t="s">
        <v>2040</v>
      </c>
      <c r="D421" s="706" t="s">
        <v>2041</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G29900</v>
      </c>
      <c r="AK421" s="905" t="str">
        <f t="shared" si="37"/>
        <v>INTER-DIVISION</v>
      </c>
      <c r="AL421" s="905">
        <f>IFERROR(INDEX(G421:R421,1,MATCH(Parametres!$B$3,G$1:R$1,0)-1)*IF(OR(F421="L",F421="S",F421="I"),-1,1),"")</f>
        <v>0</v>
      </c>
      <c r="AM421" s="905">
        <f t="shared" si="38"/>
        <v>0</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39"/>
        <v>G29900</v>
      </c>
      <c r="AU421" s="488" t="str">
        <f t="shared" si="40"/>
        <v>INTER-DIVISION</v>
      </c>
      <c r="AV421" s="899">
        <f>IFERROR(INDEX(V421:AG421,1,MATCH(Parametres!$B$3,V$1:AG$1,0)-1)*IF(OR(C421="L",C421="S",C421="I"),-1,1),"")</f>
        <v>0</v>
      </c>
      <c r="AW421" s="899">
        <f t="shared" si="41"/>
        <v>0</v>
      </c>
      <c r="AX421" s="899">
        <f>INDEX(V421:AG421,1,MATCH(Parametres!$B$3,V$1:AG$1,0))*IF(OR(C421="L",C421="S",C421="I"),-1,1)</f>
        <v>0</v>
      </c>
      <c r="AY421" s="487" t="s">
        <v>337</v>
      </c>
      <c r="AZ421" s="487">
        <f>+VLOOKUP($AJ421,Data_Validation!$A:$E,5,0)</f>
        <v>0</v>
      </c>
    </row>
    <row r="422" spans="1:52" ht="15.75" hidden="1" customHeight="1">
      <c r="A422" s="706" t="s">
        <v>1148</v>
      </c>
      <c r="B422" s="706">
        <v>2025</v>
      </c>
      <c r="C422" s="706" t="s">
        <v>2042</v>
      </c>
      <c r="D422" s="706" t="s">
        <v>2043</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G30000</v>
      </c>
      <c r="AK422" s="905" t="str">
        <f t="shared" si="37"/>
        <v>C/P FOURNISSEURS</v>
      </c>
      <c r="AL422" s="905">
        <f>IFERROR(INDEX(G422:R422,1,MATCH(Parametres!$B$3,G$1:R$1,0)-1)*IF(OR(F422="L",F422="S",F422="I"),-1,1),"")</f>
        <v>-2243390.58</v>
      </c>
      <c r="AM422" s="905">
        <f t="shared" si="38"/>
        <v>438998.10000000009</v>
      </c>
      <c r="AN422" s="905">
        <f>INDEX(G422:R422,1,MATCH(Parametres!$B$3,G$1:R$1,0))*IF(OR(F422="L",F422="S",F422="I"),-1,1)</f>
        <v>-1804392.48</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39"/>
        <v>G30000</v>
      </c>
      <c r="AU422" s="488" t="str">
        <f t="shared" si="40"/>
        <v>C/P FOURNISSEURS</v>
      </c>
      <c r="AV422" s="899">
        <f>IFERROR(INDEX(V422:AG422,1,MATCH(Parametres!$B$3,V$1:AG$1,0)-1)*IF(OR(C422="L",C422="S",C422="I"),-1,1),"")</f>
        <v>0</v>
      </c>
      <c r="AW422" s="899">
        <f t="shared" si="41"/>
        <v>0</v>
      </c>
      <c r="AX422" s="899">
        <f>INDEX(V422:AG422,1,MATCH(Parametres!$B$3,V$1:AG$1,0))*IF(OR(C422="L",C422="S",C422="I"),-1,1)</f>
        <v>0</v>
      </c>
      <c r="AY422" s="487" t="s">
        <v>337</v>
      </c>
      <c r="AZ422" s="487">
        <f>+VLOOKUP($AJ422,Data_Validation!$A:$E,5,0)</f>
        <v>0</v>
      </c>
    </row>
    <row r="423" spans="1:52" ht="15.75" hidden="1" customHeight="1">
      <c r="A423" s="706" t="s">
        <v>1148</v>
      </c>
      <c r="B423" s="706">
        <v>2025</v>
      </c>
      <c r="C423" s="706" t="s">
        <v>2044</v>
      </c>
      <c r="D423" s="706" t="s">
        <v>2045</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G30001</v>
      </c>
      <c r="AK423" s="905" t="str">
        <f t="shared" si="37"/>
        <v>COMPTES A PAYER OPEN-ITEM</v>
      </c>
      <c r="AL423" s="905">
        <f>IFERROR(INDEX(G423:R423,1,MATCH(Parametres!$B$3,G$1:R$1,0)-1)*IF(OR(F423="L",F423="S",F423="I"),-1,1),"")</f>
        <v>0</v>
      </c>
      <c r="AM423" s="905">
        <f t="shared" si="38"/>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39"/>
        <v>G30001</v>
      </c>
      <c r="AU423" s="488" t="str">
        <f t="shared" si="40"/>
        <v>COMPTES A PAYER OPEN-ITEM</v>
      </c>
      <c r="AV423" s="899">
        <f>IFERROR(INDEX(V423:AG423,1,MATCH(Parametres!$B$3,V$1:AG$1,0)-1)*IF(OR(C423="L",C423="S",C423="I"),-1,1),"")</f>
        <v>0</v>
      </c>
      <c r="AW423" s="899">
        <f t="shared" si="41"/>
        <v>0</v>
      </c>
      <c r="AX423" s="899">
        <f>INDEX(V423:AG423,1,MATCH(Parametres!$B$3,V$1:AG$1,0))*IF(OR(C423="L",C423="S",C423="I"),-1,1)</f>
        <v>0</v>
      </c>
      <c r="AY423" s="487" t="s">
        <v>337</v>
      </c>
      <c r="AZ423" s="487" t="e">
        <f>+VLOOKUP($AJ423,Data_Validation!$A:$E,5,0)</f>
        <v>#N/A</v>
      </c>
    </row>
    <row r="424" spans="1:52" ht="15.75" hidden="1" customHeight="1">
      <c r="A424" s="706" t="s">
        <v>1148</v>
      </c>
      <c r="B424" s="706">
        <v>2025</v>
      </c>
      <c r="C424" s="706" t="s">
        <v>2046</v>
      </c>
      <c r="D424" s="706" t="s">
        <v>2047</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G30010</v>
      </c>
      <c r="AK424" s="905" t="str">
        <f t="shared" si="37"/>
        <v>CLAIMS G.M. DU AUX CLIENT</v>
      </c>
      <c r="AL424" s="905">
        <f>IFERROR(INDEX(G424:R424,1,MATCH(Parametres!$B$3,G$1:R$1,0)-1)*IF(OR(F424="L",F424="S",F424="I"),-1,1),"")</f>
        <v>0</v>
      </c>
      <c r="AM424" s="905">
        <f t="shared" si="38"/>
        <v>0</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39"/>
        <v>G30010</v>
      </c>
      <c r="AU424" s="488" t="str">
        <f t="shared" si="40"/>
        <v>CLAIMS G.M. DU AUX CLIENT</v>
      </c>
      <c r="AV424" s="899">
        <f>IFERROR(INDEX(V424:AG424,1,MATCH(Parametres!$B$3,V$1:AG$1,0)-1)*IF(OR(C424="L",C424="S",C424="I"),-1,1),"")</f>
        <v>0</v>
      </c>
      <c r="AW424" s="899">
        <f t="shared" si="41"/>
        <v>0</v>
      </c>
      <c r="AX424" s="899">
        <f>INDEX(V424:AG424,1,MATCH(Parametres!$B$3,V$1:AG$1,0))*IF(OR(C424="L",C424="S",C424="I"),-1,1)</f>
        <v>0</v>
      </c>
      <c r="AY424" s="487" t="s">
        <v>337</v>
      </c>
      <c r="AZ424" s="487">
        <f>+VLOOKUP($AJ424,Data_Validation!$A:$E,5,0)</f>
        <v>0</v>
      </c>
    </row>
    <row r="425" spans="1:52" ht="15.75" hidden="1" customHeight="1">
      <c r="A425" s="706" t="s">
        <v>1148</v>
      </c>
      <c r="B425" s="706">
        <v>2025</v>
      </c>
      <c r="C425" s="706" t="s">
        <v>2048</v>
      </c>
      <c r="D425" s="706" t="s">
        <v>2049</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G30020</v>
      </c>
      <c r="AK425" s="905" t="str">
        <f t="shared" si="37"/>
        <v>PLAN PROTECTION A PAYER</v>
      </c>
      <c r="AL425" s="905">
        <f>IFERROR(INDEX(G425:R425,1,MATCH(Parametres!$B$3,G$1:R$1,0)-1)*IF(OR(F425="L",F425="S",F425="I"),-1,1),"")</f>
        <v>-16958.849999999999</v>
      </c>
      <c r="AM425" s="905">
        <f t="shared" si="38"/>
        <v>6236.409999999998</v>
      </c>
      <c r="AN425" s="905">
        <f>INDEX(G425:R425,1,MATCH(Parametres!$B$3,G$1:R$1,0))*IF(OR(F425="L",F425="S",F425="I"),-1,1)</f>
        <v>-10722.44</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39"/>
        <v>G30020</v>
      </c>
      <c r="AU425" s="488" t="str">
        <f t="shared" si="40"/>
        <v>PLAN PROTECTION A PAYER</v>
      </c>
      <c r="AV425" s="899">
        <f>IFERROR(INDEX(V425:AG425,1,MATCH(Parametres!$B$3,V$1:AG$1,0)-1)*IF(OR(C425="L",C425="S",C425="I"),-1,1),"")</f>
        <v>0</v>
      </c>
      <c r="AW425" s="899">
        <f t="shared" si="41"/>
        <v>0</v>
      </c>
      <c r="AX425" s="899">
        <f>INDEX(V425:AG425,1,MATCH(Parametres!$B$3,V$1:AG$1,0))*IF(OR(C425="L",C425="S",C425="I"),-1,1)</f>
        <v>0</v>
      </c>
      <c r="AY425" s="487" t="s">
        <v>337</v>
      </c>
      <c r="AZ425" s="487">
        <f>+VLOOKUP($AJ425,Data_Validation!$A:$E,5,0)</f>
        <v>0</v>
      </c>
    </row>
    <row r="426" spans="1:52" ht="15.75" hidden="1" customHeight="1">
      <c r="A426" s="706" t="s">
        <v>1148</v>
      </c>
      <c r="B426" s="706">
        <v>2025</v>
      </c>
      <c r="C426" s="706" t="s">
        <v>2050</v>
      </c>
      <c r="D426" s="706" t="s">
        <v>2051</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G30030</v>
      </c>
      <c r="AK426" s="905" t="str">
        <f t="shared" si="37"/>
        <v>DROIT SPECIF. SUR PNEUS</v>
      </c>
      <c r="AL426" s="905">
        <f>IFERROR(INDEX(G426:R426,1,MATCH(Parametres!$B$3,G$1:R$1,0)-1)*IF(OR(F426="L",F426="S",F426="I"),-1,1),"")</f>
        <v>-1899</v>
      </c>
      <c r="AM426" s="905">
        <f t="shared" si="38"/>
        <v>-414</v>
      </c>
      <c r="AN426" s="905">
        <f>INDEX(G426:R426,1,MATCH(Parametres!$B$3,G$1:R$1,0))*IF(OR(F426="L",F426="S",F426="I"),-1,1)</f>
        <v>-2313</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39"/>
        <v>G30030</v>
      </c>
      <c r="AU426" s="488" t="str">
        <f t="shared" si="40"/>
        <v>DROIT SPECIF. SUR PNEUS</v>
      </c>
      <c r="AV426" s="899">
        <f>IFERROR(INDEX(V426:AG426,1,MATCH(Parametres!$B$3,V$1:AG$1,0)-1)*IF(OR(C426="L",C426="S",C426="I"),-1,1),"")</f>
        <v>0</v>
      </c>
      <c r="AW426" s="899">
        <f t="shared" si="41"/>
        <v>0</v>
      </c>
      <c r="AX426" s="899">
        <f>INDEX(V426:AG426,1,MATCH(Parametres!$B$3,V$1:AG$1,0))*IF(OR(C426="L",C426="S",C426="I"),-1,1)</f>
        <v>0</v>
      </c>
      <c r="AY426" s="487" t="s">
        <v>337</v>
      </c>
      <c r="AZ426" s="487">
        <f>+VLOOKUP($AJ426,Data_Validation!$A:$E,5,0)</f>
        <v>0</v>
      </c>
    </row>
    <row r="427" spans="1:52" ht="15.75" hidden="1" customHeight="1">
      <c r="A427" s="706" t="s">
        <v>1148</v>
      </c>
      <c r="B427" s="706">
        <v>2025</v>
      </c>
      <c r="C427" s="706" t="s">
        <v>2052</v>
      </c>
      <c r="D427" s="706" t="s">
        <v>2053</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G30040</v>
      </c>
      <c r="AK427" s="905" t="str">
        <f t="shared" si="37"/>
        <v>AVANCE REMARK. AUTO CANAD</v>
      </c>
      <c r="AL427" s="905">
        <f>IFERROR(INDEX(G427:R427,1,MATCH(Parametres!$B$3,G$1:R$1,0)-1)*IF(OR(F427="L",F427="S",F427="I"),-1,1),"")</f>
        <v>-44500</v>
      </c>
      <c r="AM427" s="905">
        <f t="shared" si="38"/>
        <v>0</v>
      </c>
      <c r="AN427" s="905">
        <f>INDEX(G427:R427,1,MATCH(Parametres!$B$3,G$1:R$1,0))*IF(OR(F427="L",F427="S",F427="I"),-1,1)</f>
        <v>-44500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39"/>
        <v>G30040</v>
      </c>
      <c r="AU427" s="488" t="str">
        <f t="shared" si="40"/>
        <v>AVANCE REMARK. AUTO CANAD</v>
      </c>
      <c r="AV427" s="899">
        <f>IFERROR(INDEX(V427:AG427,1,MATCH(Parametres!$B$3,V$1:AG$1,0)-1)*IF(OR(C427="L",C427="S",C427="I"),-1,1),"")</f>
        <v>0</v>
      </c>
      <c r="AW427" s="899">
        <f t="shared" si="41"/>
        <v>0</v>
      </c>
      <c r="AX427" s="899">
        <f>INDEX(V427:AG427,1,MATCH(Parametres!$B$3,V$1:AG$1,0))*IF(OR(C427="L",C427="S",C427="I"),-1,1)</f>
        <v>0</v>
      </c>
      <c r="AY427" s="487" t="s">
        <v>337</v>
      </c>
      <c r="AZ427" s="487">
        <f>+VLOOKUP($AJ427,Data_Validation!$A:$E,5,0)</f>
        <v>0</v>
      </c>
    </row>
    <row r="428" spans="1:52" ht="15.75" hidden="1" customHeight="1">
      <c r="A428" s="706" t="s">
        <v>1148</v>
      </c>
      <c r="B428" s="706">
        <v>2025</v>
      </c>
      <c r="C428" s="706" t="s">
        <v>2054</v>
      </c>
      <c r="D428" s="706" t="s">
        <v>2055</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G30045</v>
      </c>
      <c r="AK428" s="905" t="str">
        <f t="shared" si="37"/>
        <v>AVANCE 9046-6640 QC INC</v>
      </c>
      <c r="AL428" s="905">
        <f>IFERROR(INDEX(G428:R428,1,MATCH(Parametres!$B$3,G$1:R$1,0)-1)*IF(OR(F428="L",F428="S",F428="I"),-1,1),"")</f>
        <v>-3562</v>
      </c>
      <c r="AM428" s="905">
        <f t="shared" si="38"/>
        <v>0</v>
      </c>
      <c r="AN428" s="905">
        <f>INDEX(G428:R428,1,MATCH(Parametres!$B$3,G$1:R$1,0))*IF(OR(F428="L",F428="S",F428="I"),-1,1)</f>
        <v>-3562</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39"/>
        <v>G30045</v>
      </c>
      <c r="AU428" s="488" t="str">
        <f t="shared" si="40"/>
        <v>AVANCE 9046-6640 QC INC</v>
      </c>
      <c r="AV428" s="899">
        <f>IFERROR(INDEX(V428:AG428,1,MATCH(Parametres!$B$3,V$1:AG$1,0)-1)*IF(OR(C428="L",C428="S",C428="I"),-1,1),"")</f>
        <v>0</v>
      </c>
      <c r="AW428" s="899">
        <f t="shared" si="41"/>
        <v>0</v>
      </c>
      <c r="AX428" s="899">
        <f>INDEX(V428:AG428,1,MATCH(Parametres!$B$3,V$1:AG$1,0))*IF(OR(C428="L",C428="S",C428="I"),-1,1)</f>
        <v>0</v>
      </c>
      <c r="AY428" s="487" t="s">
        <v>337</v>
      </c>
      <c r="AZ428" s="487">
        <f>+VLOOKUP($AJ428,Data_Validation!$A:$E,5,0)</f>
        <v>0</v>
      </c>
    </row>
    <row r="429" spans="1:52" ht="15.75" hidden="1" customHeight="1">
      <c r="A429" s="706" t="s">
        <v>1148</v>
      </c>
      <c r="B429" s="706">
        <v>2025</v>
      </c>
      <c r="C429" s="706" t="s">
        <v>2056</v>
      </c>
      <c r="D429" s="706" t="s">
        <v>2057</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G30046</v>
      </c>
      <c r="AK429" s="905" t="str">
        <f t="shared" si="37"/>
        <v>AVANCE HYUNDAI ST-CONSTAN</v>
      </c>
      <c r="AL429" s="905">
        <f>IFERROR(INDEX(G429:R429,1,MATCH(Parametres!$B$3,G$1:R$1,0)-1)*IF(OR(F429="L",F429="S",F429="I"),-1,1),"")</f>
        <v>0</v>
      </c>
      <c r="AM429" s="905">
        <f t="shared" si="38"/>
        <v>0</v>
      </c>
      <c r="AN429" s="905">
        <f>INDEX(G429:R429,1,MATCH(Parametres!$B$3,G$1:R$1,0))*IF(OR(F429="L",F429="S",F429="I"),-1,1)</f>
        <v>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39"/>
        <v>G30046</v>
      </c>
      <c r="AU429" s="488" t="str">
        <f t="shared" si="40"/>
        <v>AVANCE HYUNDAI ST-CONSTAN</v>
      </c>
      <c r="AV429" s="899">
        <f>IFERROR(INDEX(V429:AG429,1,MATCH(Parametres!$B$3,V$1:AG$1,0)-1)*IF(OR(C429="L",C429="S",C429="I"),-1,1),"")</f>
        <v>0</v>
      </c>
      <c r="AW429" s="899">
        <f t="shared" si="41"/>
        <v>0</v>
      </c>
      <c r="AX429" s="899">
        <f>INDEX(V429:AG429,1,MATCH(Parametres!$B$3,V$1:AG$1,0))*IF(OR(C429="L",C429="S",C429="I"),-1,1)</f>
        <v>0</v>
      </c>
      <c r="AY429" s="487" t="s">
        <v>337</v>
      </c>
      <c r="AZ429" s="487">
        <f>+VLOOKUP($AJ429,Data_Validation!$A:$E,5,0)</f>
        <v>0</v>
      </c>
    </row>
    <row r="430" spans="1:52" ht="15.75" hidden="1" customHeight="1">
      <c r="A430" s="706" t="s">
        <v>1148</v>
      </c>
      <c r="B430" s="706">
        <v>2025</v>
      </c>
      <c r="C430" s="706" t="s">
        <v>2058</v>
      </c>
      <c r="D430" s="706" t="s">
        <v>2059</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G30047</v>
      </c>
      <c r="AK430" s="905" t="str">
        <f t="shared" si="37"/>
        <v>AVANCE - PAUL LOISELLE</v>
      </c>
      <c r="AL430" s="905">
        <f>IFERROR(INDEX(G430:R430,1,MATCH(Parametres!$B$3,G$1:R$1,0)-1)*IF(OR(F430="L",F430="S",F430="I"),-1,1),"")</f>
        <v>0</v>
      </c>
      <c r="AM430" s="905">
        <f t="shared" si="38"/>
        <v>0</v>
      </c>
      <c r="AN430" s="905">
        <f>INDEX(G430:R430,1,MATCH(Parametres!$B$3,G$1:R$1,0))*IF(OR(F430="L",F430="S",F430="I"),-1,1)</f>
        <v>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39"/>
        <v>G30047</v>
      </c>
      <c r="AU430" s="488" t="str">
        <f t="shared" si="40"/>
        <v>AVANCE - PAUL LOISELLE</v>
      </c>
      <c r="AV430" s="899">
        <f>IFERROR(INDEX(V430:AG430,1,MATCH(Parametres!$B$3,V$1:AG$1,0)-1)*IF(OR(C430="L",C430="S",C430="I"),-1,1),"")</f>
        <v>0</v>
      </c>
      <c r="AW430" s="899">
        <f t="shared" si="41"/>
        <v>0</v>
      </c>
      <c r="AX430" s="899">
        <f>INDEX(V430:AG430,1,MATCH(Parametres!$B$3,V$1:AG$1,0))*IF(OR(C430="L",C430="S",C430="I"),-1,1)</f>
        <v>0</v>
      </c>
      <c r="AY430" s="487" t="s">
        <v>337</v>
      </c>
      <c r="AZ430" s="487">
        <f>+VLOOKUP($AJ430,Data_Validation!$A:$E,5,0)</f>
        <v>0</v>
      </c>
    </row>
    <row r="431" spans="1:52" ht="15.75" hidden="1" customHeight="1">
      <c r="A431" s="706" t="s">
        <v>1148</v>
      </c>
      <c r="B431" s="706">
        <v>2025</v>
      </c>
      <c r="C431" s="706" t="s">
        <v>2060</v>
      </c>
      <c r="D431" s="706" t="s">
        <v>2061</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G30048</v>
      </c>
      <c r="AK431" s="905" t="str">
        <f t="shared" si="37"/>
        <v>AVANCE LUC POIRIER</v>
      </c>
      <c r="AL431" s="905">
        <f>IFERROR(INDEX(G431:R431,1,MATCH(Parametres!$B$3,G$1:R$1,0)-1)*IF(OR(F431="L",F431="S",F431="I"),-1,1),"")</f>
        <v>0</v>
      </c>
      <c r="AM431" s="905">
        <f t="shared" si="38"/>
        <v>0</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39"/>
        <v>G30048</v>
      </c>
      <c r="AU431" s="488" t="str">
        <f t="shared" si="40"/>
        <v>AVANCE LUC POIRIER</v>
      </c>
      <c r="AV431" s="899">
        <f>IFERROR(INDEX(V431:AG431,1,MATCH(Parametres!$B$3,V$1:AG$1,0)-1)*IF(OR(C431="L",C431="S",C431="I"),-1,1),"")</f>
        <v>0</v>
      </c>
      <c r="AW431" s="899">
        <f t="shared" si="41"/>
        <v>0</v>
      </c>
      <c r="AX431" s="899">
        <f>INDEX(V431:AG431,1,MATCH(Parametres!$B$3,V$1:AG$1,0))*IF(OR(C431="L",C431="S",C431="I"),-1,1)</f>
        <v>0</v>
      </c>
      <c r="AY431" s="487" t="s">
        <v>337</v>
      </c>
      <c r="AZ431" s="487">
        <f>+VLOOKUP($AJ431,Data_Validation!$A:$E,5,0)</f>
        <v>0</v>
      </c>
    </row>
    <row r="432" spans="1:52" ht="15.75" hidden="1" customHeight="1">
      <c r="A432" s="706" t="s">
        <v>1148</v>
      </c>
      <c r="B432" s="706">
        <v>2025</v>
      </c>
      <c r="C432" s="706" t="s">
        <v>2062</v>
      </c>
      <c r="D432" s="706" t="s">
        <v>2063</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G30050</v>
      </c>
      <c r="AK432" s="905" t="str">
        <f t="shared" si="37"/>
        <v>REVENUS DIFFERES</v>
      </c>
      <c r="AL432" s="905">
        <f>IFERROR(INDEX(G432:R432,1,MATCH(Parametres!$B$3,G$1:R$1,0)-1)*IF(OR(F432="L",F432="S",F432="I"),-1,1),"")</f>
        <v>0</v>
      </c>
      <c r="AM432" s="905">
        <f t="shared" si="38"/>
        <v>0</v>
      </c>
      <c r="AN432" s="905">
        <f>INDEX(G432:R432,1,MATCH(Parametres!$B$3,G$1:R$1,0))*IF(OR(F432="L",F432="S",F432="I"),-1,1)</f>
        <v>0</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39"/>
        <v>G30050</v>
      </c>
      <c r="AU432" s="488" t="str">
        <f t="shared" si="40"/>
        <v>REVENUS DIFFERES</v>
      </c>
      <c r="AV432" s="899">
        <f>IFERROR(INDEX(V432:AG432,1,MATCH(Parametres!$B$3,V$1:AG$1,0)-1)*IF(OR(C432="L",C432="S",C432="I"),-1,1),"")</f>
        <v>0</v>
      </c>
      <c r="AW432" s="899">
        <f t="shared" si="41"/>
        <v>0</v>
      </c>
      <c r="AX432" s="899">
        <f>INDEX(V432:AG432,1,MATCH(Parametres!$B$3,V$1:AG$1,0))*IF(OR(C432="L",C432="S",C432="I"),-1,1)</f>
        <v>0</v>
      </c>
      <c r="AY432" s="487" t="s">
        <v>337</v>
      </c>
      <c r="AZ432" s="487">
        <f>+VLOOKUP($AJ432,Data_Validation!$A:$E,5,0)</f>
        <v>0</v>
      </c>
    </row>
    <row r="433" spans="1:52" ht="15.75" hidden="1" customHeight="1">
      <c r="A433" s="706" t="s">
        <v>1148</v>
      </c>
      <c r="B433" s="706">
        <v>2025</v>
      </c>
      <c r="C433" s="706" t="s">
        <v>2064</v>
      </c>
      <c r="D433" s="706" t="s">
        <v>2065</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G30051</v>
      </c>
      <c r="AK433" s="905" t="str">
        <f t="shared" si="37"/>
        <v>REVENUS DIFFERÉS II</v>
      </c>
      <c r="AL433" s="905">
        <f>IFERROR(INDEX(G433:R433,1,MATCH(Parametres!$B$3,G$1:R$1,0)-1)*IF(OR(F433="L",F433="S",F433="I"),-1,1),"")</f>
        <v>-304580.38</v>
      </c>
      <c r="AM433" s="905">
        <f t="shared" si="38"/>
        <v>133138.42000000001</v>
      </c>
      <c r="AN433" s="905">
        <f>INDEX(G433:R433,1,MATCH(Parametres!$B$3,G$1:R$1,0))*IF(OR(F433="L",F433="S",F433="I"),-1,1)</f>
        <v>-171441.96</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39"/>
        <v>G30051</v>
      </c>
      <c r="AU433" s="488" t="str">
        <f t="shared" si="40"/>
        <v>REVENUS DIFFERÉS II</v>
      </c>
      <c r="AV433" s="899">
        <f>IFERROR(INDEX(V433:AG433,1,MATCH(Parametres!$B$3,V$1:AG$1,0)-1)*IF(OR(C433="L",C433="S",C433="I"),-1,1),"")</f>
        <v>0</v>
      </c>
      <c r="AW433" s="899">
        <f t="shared" si="41"/>
        <v>0</v>
      </c>
      <c r="AX433" s="899">
        <f>INDEX(V433:AG433,1,MATCH(Parametres!$B$3,V$1:AG$1,0))*IF(OR(C433="L",C433="S",C433="I"),-1,1)</f>
        <v>0</v>
      </c>
      <c r="AY433" s="487" t="s">
        <v>337</v>
      </c>
      <c r="AZ433" s="487">
        <f>+VLOOKUP($AJ433,Data_Validation!$A:$E,5,0)</f>
        <v>0</v>
      </c>
    </row>
    <row r="434" spans="1:52" ht="15.75" hidden="1" customHeight="1">
      <c r="A434" s="706" t="s">
        <v>1148</v>
      </c>
      <c r="B434" s="706">
        <v>2025</v>
      </c>
      <c r="C434" s="706" t="s">
        <v>2066</v>
      </c>
      <c r="D434" s="706" t="s">
        <v>2067</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G30055</v>
      </c>
      <c r="AK434" s="905" t="str">
        <f t="shared" si="37"/>
        <v>RESERVE US-GAMMA</v>
      </c>
      <c r="AL434" s="905">
        <f>IFERROR(INDEX(G434:R434,1,MATCH(Parametres!$B$3,G$1:R$1,0)-1)*IF(OR(F434="L",F434="S",F434="I"),-1,1),"")</f>
        <v>-310602.71999999997</v>
      </c>
      <c r="AM434" s="905">
        <f t="shared" si="38"/>
        <v>140808.96999999997</v>
      </c>
      <c r="AN434" s="905">
        <f>INDEX(G434:R434,1,MATCH(Parametres!$B$3,G$1:R$1,0))*IF(OR(F434="L",F434="S",F434="I"),-1,1)</f>
        <v>-169793.75</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39"/>
        <v>G30055</v>
      </c>
      <c r="AU434" s="488" t="str">
        <f t="shared" si="40"/>
        <v>RESERVE US-GAMMA</v>
      </c>
      <c r="AV434" s="899">
        <f>IFERROR(INDEX(V434:AG434,1,MATCH(Parametres!$B$3,V$1:AG$1,0)-1)*IF(OR(C434="L",C434="S",C434="I"),-1,1),"")</f>
        <v>0</v>
      </c>
      <c r="AW434" s="899">
        <f t="shared" si="41"/>
        <v>0</v>
      </c>
      <c r="AX434" s="899">
        <f>INDEX(V434:AG434,1,MATCH(Parametres!$B$3,V$1:AG$1,0))*IF(OR(C434="L",C434="S",C434="I"),-1,1)</f>
        <v>0</v>
      </c>
      <c r="AY434" s="487" t="s">
        <v>337</v>
      </c>
      <c r="AZ434" s="487">
        <f>+VLOOKUP($AJ434,Data_Validation!$A:$E,5,0)</f>
        <v>0</v>
      </c>
    </row>
    <row r="435" spans="1:52" ht="15.75" hidden="1" customHeight="1">
      <c r="A435" s="706" t="s">
        <v>1148</v>
      </c>
      <c r="B435" s="706">
        <v>2025</v>
      </c>
      <c r="C435" s="706" t="s">
        <v>2068</v>
      </c>
      <c r="D435" s="706" t="s">
        <v>2069</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G30070</v>
      </c>
      <c r="AK435" s="905" t="str">
        <f t="shared" si="37"/>
        <v>AVANCES HAWKSBERY CHEV</v>
      </c>
      <c r="AL435" s="905">
        <f>IFERROR(INDEX(G435:R435,1,MATCH(Parametres!$B$3,G$1:R$1,0)-1)*IF(OR(F435="L",F435="S",F435="I"),-1,1),"")</f>
        <v>0</v>
      </c>
      <c r="AM435" s="905">
        <f t="shared" si="38"/>
        <v>0</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39"/>
        <v>G30070</v>
      </c>
      <c r="AU435" s="488" t="str">
        <f t="shared" si="40"/>
        <v>AVANCES HAWKSBERY CHEV</v>
      </c>
      <c r="AV435" s="899">
        <f>IFERROR(INDEX(V435:AG435,1,MATCH(Parametres!$B$3,V$1:AG$1,0)-1)*IF(OR(C435="L",C435="S",C435="I"),-1,1),"")</f>
        <v>0</v>
      </c>
      <c r="AW435" s="899">
        <f t="shared" si="41"/>
        <v>0</v>
      </c>
      <c r="AX435" s="899">
        <f>INDEX(V435:AG435,1,MATCH(Parametres!$B$3,V$1:AG$1,0))*IF(OR(C435="L",C435="S",C435="I"),-1,1)</f>
        <v>0</v>
      </c>
      <c r="AY435" s="487" t="s">
        <v>337</v>
      </c>
      <c r="AZ435" s="487">
        <f>+VLOOKUP($AJ435,Data_Validation!$A:$E,5,0)</f>
        <v>0</v>
      </c>
    </row>
    <row r="436" spans="1:52" ht="15.75" hidden="1" customHeight="1">
      <c r="A436" s="706" t="s">
        <v>1148</v>
      </c>
      <c r="B436" s="706">
        <v>2025</v>
      </c>
      <c r="C436" s="706" t="s">
        <v>2070</v>
      </c>
      <c r="D436" s="706" t="s">
        <v>2071</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G30080</v>
      </c>
      <c r="AK436" s="905" t="str">
        <f t="shared" si="37"/>
        <v>AVANCES 13721515 CANADA I</v>
      </c>
      <c r="AL436" s="905">
        <f>IFERROR(INDEX(G436:R436,1,MATCH(Parametres!$B$3,G$1:R$1,0)-1)*IF(OR(F436="L",F436="S",F436="I"),-1,1),"")</f>
        <v>-12640782.34</v>
      </c>
      <c r="AM436" s="905">
        <f t="shared" si="38"/>
        <v>5000000</v>
      </c>
      <c r="AN436" s="905">
        <f>INDEX(G436:R436,1,MATCH(Parametres!$B$3,G$1:R$1,0))*IF(OR(F436="L",F436="S",F436="I"),-1,1)</f>
        <v>-7640782.3399999999</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39"/>
        <v>G30080</v>
      </c>
      <c r="AU436" s="488" t="str">
        <f t="shared" si="40"/>
        <v>AVANCES 13721515 CANADA I</v>
      </c>
      <c r="AV436" s="899">
        <f>IFERROR(INDEX(V436:AG436,1,MATCH(Parametres!$B$3,V$1:AG$1,0)-1)*IF(OR(C436="L",C436="S",C436="I"),-1,1),"")</f>
        <v>0</v>
      </c>
      <c r="AW436" s="899">
        <f t="shared" si="41"/>
        <v>0</v>
      </c>
      <c r="AX436" s="899">
        <f>INDEX(V436:AG436,1,MATCH(Parametres!$B$3,V$1:AG$1,0))*IF(OR(C436="L",C436="S",C436="I"),-1,1)</f>
        <v>0</v>
      </c>
      <c r="AY436" s="487" t="s">
        <v>337</v>
      </c>
      <c r="AZ436" s="487">
        <f>+VLOOKUP($AJ436,Data_Validation!$A:$E,5,0)</f>
        <v>0</v>
      </c>
    </row>
    <row r="437" spans="1:52" ht="15.75" hidden="1" customHeight="1">
      <c r="A437" s="706" t="s">
        <v>1148</v>
      </c>
      <c r="B437" s="706">
        <v>2025</v>
      </c>
      <c r="C437" s="706" t="s">
        <v>2072</v>
      </c>
      <c r="D437" s="706" t="s">
        <v>2073</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G30090</v>
      </c>
      <c r="AK437" s="905" t="str">
        <f t="shared" si="37"/>
        <v>AVANCES 9512-1703 QC</v>
      </c>
      <c r="AL437" s="905">
        <f>IFERROR(INDEX(G437:R437,1,MATCH(Parametres!$B$3,G$1:R$1,0)-1)*IF(OR(F437="L",F437="S",F437="I"),-1,1),"")</f>
        <v>-181687</v>
      </c>
      <c r="AM437" s="905">
        <f t="shared" si="38"/>
        <v>209.25</v>
      </c>
      <c r="AN437" s="905">
        <f>INDEX(G437:R437,1,MATCH(Parametres!$B$3,G$1:R$1,0))*IF(OR(F437="L",F437="S",F437="I"),-1,1)</f>
        <v>-181477.75</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39"/>
        <v>G30090</v>
      </c>
      <c r="AU437" s="488" t="str">
        <f t="shared" si="40"/>
        <v>AVANCES 9512-1703 QC</v>
      </c>
      <c r="AV437" s="899">
        <f>IFERROR(INDEX(V437:AG437,1,MATCH(Parametres!$B$3,V$1:AG$1,0)-1)*IF(OR(C437="L",C437="S",C437="I"),-1,1),"")</f>
        <v>0</v>
      </c>
      <c r="AW437" s="899">
        <f t="shared" si="41"/>
        <v>0</v>
      </c>
      <c r="AX437" s="899">
        <f>INDEX(V437:AG437,1,MATCH(Parametres!$B$3,V$1:AG$1,0))*IF(OR(C437="L",C437="S",C437="I"),-1,1)</f>
        <v>0</v>
      </c>
      <c r="AY437" s="487" t="s">
        <v>337</v>
      </c>
      <c r="AZ437" s="487">
        <f>+VLOOKUP($AJ437,Data_Validation!$A:$E,5,0)</f>
        <v>0</v>
      </c>
    </row>
    <row r="438" spans="1:52" ht="15.75" hidden="1" customHeight="1">
      <c r="A438" s="706" t="s">
        <v>1148</v>
      </c>
      <c r="B438" s="706">
        <v>2025</v>
      </c>
      <c r="C438" s="706" t="s">
        <v>2076</v>
      </c>
      <c r="D438" s="706" t="s">
        <v>2077</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G30100</v>
      </c>
      <c r="AK438" s="905" t="str">
        <f t="shared" si="37"/>
        <v>DEPOT CLIENTS</v>
      </c>
      <c r="AL438" s="905">
        <f>IFERROR(INDEX(G438:R438,1,MATCH(Parametres!$B$3,G$1:R$1,0)-1)*IF(OR(F438="L",F438="S",F438="I"),-1,1),"")</f>
        <v>0</v>
      </c>
      <c r="AM438" s="905">
        <f t="shared" si="38"/>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39"/>
        <v>G30100</v>
      </c>
      <c r="AU438" s="488" t="str">
        <f t="shared" si="40"/>
        <v>DEPOT CLIENTS</v>
      </c>
      <c r="AV438" s="899">
        <f>IFERROR(INDEX(V438:AG438,1,MATCH(Parametres!$B$3,V$1:AG$1,0)-1)*IF(OR(C438="L",C438="S",C438="I"),-1,1),"")</f>
        <v>0</v>
      </c>
      <c r="AW438" s="899">
        <f t="shared" si="41"/>
        <v>0</v>
      </c>
      <c r="AX438" s="899">
        <f>INDEX(V438:AG438,1,MATCH(Parametres!$B$3,V$1:AG$1,0))*IF(OR(C438="L",C438="S",C438="I"),-1,1)</f>
        <v>0</v>
      </c>
      <c r="AY438" s="487" t="s">
        <v>337</v>
      </c>
      <c r="AZ438" s="487" t="e">
        <f>+VLOOKUP($AJ438,Data_Validation!$A:$E,5,0)</f>
        <v>#N/A</v>
      </c>
    </row>
    <row r="439" spans="1:52" ht="15.75" hidden="1" customHeight="1">
      <c r="A439" s="706" t="s">
        <v>1148</v>
      </c>
      <c r="B439" s="706">
        <v>2025</v>
      </c>
      <c r="C439" s="706" t="s">
        <v>2079</v>
      </c>
      <c r="D439" s="706" t="s">
        <v>2080</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G30900</v>
      </c>
      <c r="AK439" s="905" t="str">
        <f t="shared" si="37"/>
        <v>EFFETS A PAYER POINDS MOY</v>
      </c>
      <c r="AL439" s="905">
        <f>IFERROR(INDEX(G439:R439,1,MATCH(Parametres!$B$3,G$1:R$1,0)-1)*IF(OR(F439="L",F439="S",F439="I"),-1,1),"")</f>
        <v>0</v>
      </c>
      <c r="AM439" s="905">
        <f t="shared" si="38"/>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39"/>
        <v>G30900</v>
      </c>
      <c r="AU439" s="488" t="str">
        <f t="shared" si="40"/>
        <v>EFFETS A PAYER POINDS MOY</v>
      </c>
      <c r="AV439" s="899">
        <f>IFERROR(INDEX(V439:AG439,1,MATCH(Parametres!$B$3,V$1:AG$1,0)-1)*IF(OR(C439="L",C439="S",C439="I"),-1,1),"")</f>
        <v>0</v>
      </c>
      <c r="AW439" s="899">
        <f t="shared" si="41"/>
        <v>0</v>
      </c>
      <c r="AX439" s="899">
        <f>INDEX(V439:AG439,1,MATCH(Parametres!$B$3,V$1:AG$1,0))*IF(OR(C439="L",C439="S",C439="I"),-1,1)</f>
        <v>0</v>
      </c>
      <c r="AY439" s="487" t="s">
        <v>337</v>
      </c>
      <c r="AZ439" s="487" t="e">
        <f>+VLOOKUP($AJ439,Data_Validation!$A:$E,5,0)</f>
        <v>#N/A</v>
      </c>
    </row>
    <row r="440" spans="1:52" ht="15.75" hidden="1" customHeight="1">
      <c r="A440" s="706" t="s">
        <v>1148</v>
      </c>
      <c r="B440" s="706">
        <v>2025</v>
      </c>
      <c r="C440" s="706" t="s">
        <v>2081</v>
      </c>
      <c r="D440" s="706" t="s">
        <v>2082</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G31000</v>
      </c>
      <c r="AK440" s="905" t="str">
        <f t="shared" si="37"/>
        <v>EFFETS A PAYER VEHICULES</v>
      </c>
      <c r="AL440" s="905">
        <f>IFERROR(INDEX(G440:R440,1,MATCH(Parametres!$B$3,G$1:R$1,0)-1)*IF(OR(F440="L",F440="S",F440="I"),-1,1),"")</f>
        <v>-26529885.82</v>
      </c>
      <c r="AM440" s="905">
        <f t="shared" si="38"/>
        <v>-4745334.7399999984</v>
      </c>
      <c r="AN440" s="905">
        <f>INDEX(G440:R440,1,MATCH(Parametres!$B$3,G$1:R$1,0))*IF(OR(F440="L",F440="S",F440="I"),-1,1)</f>
        <v>-31275220.559999999</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39"/>
        <v>G31000</v>
      </c>
      <c r="AU440" s="488" t="str">
        <f t="shared" si="40"/>
        <v>EFFETS A PAYER VEHICULES</v>
      </c>
      <c r="AV440" s="899">
        <f>IFERROR(INDEX(V440:AG440,1,MATCH(Parametres!$B$3,V$1:AG$1,0)-1)*IF(OR(C440="L",C440="S",C440="I"),-1,1),"")</f>
        <v>0</v>
      </c>
      <c r="AW440" s="899">
        <f t="shared" si="41"/>
        <v>0</v>
      </c>
      <c r="AX440" s="899">
        <f>INDEX(V440:AG440,1,MATCH(Parametres!$B$3,V$1:AG$1,0))*IF(OR(C440="L",C440="S",C440="I"),-1,1)</f>
        <v>0</v>
      </c>
      <c r="AY440" s="487" t="s">
        <v>337</v>
      </c>
      <c r="AZ440" s="487">
        <f>+VLOOKUP($AJ440,Data_Validation!$A:$E,5,0)</f>
        <v>0</v>
      </c>
    </row>
    <row r="441" spans="1:52" ht="15.75" hidden="1" customHeight="1">
      <c r="A441" s="706" t="s">
        <v>1148</v>
      </c>
      <c r="B441" s="706">
        <v>2025</v>
      </c>
      <c r="C441" s="706" t="s">
        <v>2083</v>
      </c>
      <c r="D441" s="706" t="s">
        <v>2084</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G31100</v>
      </c>
      <c r="AK441" s="905" t="str">
        <f t="shared" si="37"/>
        <v>EFFETS PAYER VEH. OCC.</v>
      </c>
      <c r="AL441" s="905">
        <f>IFERROR(INDEX(G441:R441,1,MATCH(Parametres!$B$3,G$1:R$1,0)-1)*IF(OR(F441="L",F441="S",F441="I"),-1,1),"")</f>
        <v>-3971863.11</v>
      </c>
      <c r="AM441" s="905">
        <f t="shared" si="38"/>
        <v>-2543012.8000000003</v>
      </c>
      <c r="AN441" s="905">
        <f>INDEX(G441:R441,1,MATCH(Parametres!$B$3,G$1:R$1,0))*IF(OR(F441="L",F441="S",F441="I"),-1,1)</f>
        <v>-6514875.9100000001</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39"/>
        <v>G31100</v>
      </c>
      <c r="AU441" s="488" t="str">
        <f t="shared" si="40"/>
        <v>EFFETS PAYER VEH. OCC.</v>
      </c>
      <c r="AV441" s="899">
        <f>IFERROR(INDEX(V441:AG441,1,MATCH(Parametres!$B$3,V$1:AG$1,0)-1)*IF(OR(C441="L",C441="S",C441="I"),-1,1),"")</f>
        <v>0</v>
      </c>
      <c r="AW441" s="899">
        <f t="shared" si="41"/>
        <v>0</v>
      </c>
      <c r="AX441" s="899">
        <f>INDEX(V441:AG441,1,MATCH(Parametres!$B$3,V$1:AG$1,0))*IF(OR(C441="L",C441="S",C441="I"),-1,1)</f>
        <v>0</v>
      </c>
      <c r="AY441" s="487" t="s">
        <v>337</v>
      </c>
      <c r="AZ441" s="487">
        <f>+VLOOKUP($AJ441,Data_Validation!$A:$E,5,0)</f>
        <v>0</v>
      </c>
    </row>
    <row r="442" spans="1:52" ht="15.75" hidden="1" customHeight="1">
      <c r="A442" s="706" t="s">
        <v>1148</v>
      </c>
      <c r="B442" s="706">
        <v>2025</v>
      </c>
      <c r="C442" s="706" t="s">
        <v>2085</v>
      </c>
      <c r="D442" s="706" t="s">
        <v>2086</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G31200</v>
      </c>
      <c r="AK442" s="905" t="str">
        <f t="shared" si="37"/>
        <v>A/P VEHICULES LOCATIONS</v>
      </c>
      <c r="AL442" s="905">
        <f>IFERROR(INDEX(G442:R442,1,MATCH(Parametres!$B$3,G$1:R$1,0)-1)*IF(OR(F442="L",F442="S",F442="I"),-1,1),"")</f>
        <v>0</v>
      </c>
      <c r="AM442" s="905">
        <f t="shared" si="38"/>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G31200</v>
      </c>
      <c r="AU442" s="488" t="str">
        <f t="shared" si="40"/>
        <v>A/P VEHICULES LOCATIONS</v>
      </c>
      <c r="AV442" s="899">
        <f>IFERROR(INDEX(V442:AG442,1,MATCH(Parametres!$B$3,V$1:AG$1,0)-1)*IF(OR(C442="L",C442="S",C442="I"),-1,1),"")</f>
        <v>0</v>
      </c>
      <c r="AW442" s="899">
        <f t="shared" si="41"/>
        <v>0</v>
      </c>
      <c r="AX442" s="899">
        <f>INDEX(V442:AG442,1,MATCH(Parametres!$B$3,V$1:AG$1,0))*IF(OR(C442="L",C442="S",C442="I"),-1,1)</f>
        <v>0</v>
      </c>
      <c r="AY442" s="487" t="s">
        <v>337</v>
      </c>
      <c r="AZ442" s="487" t="e">
        <f>+VLOOKUP($AJ442,Data_Validation!$A:$E,5,0)</f>
        <v>#N/A</v>
      </c>
    </row>
    <row r="443" spans="1:52" ht="15.75" hidden="1" customHeight="1">
      <c r="A443" s="706" t="s">
        <v>1148</v>
      </c>
      <c r="B443" s="706">
        <v>2025</v>
      </c>
      <c r="C443" s="706" t="s">
        <v>2087</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G31400</v>
      </c>
      <c r="AK443" s="905" t="str">
        <f t="shared" si="37"/>
        <v>MARGE DE CREDIT</v>
      </c>
      <c r="AL443" s="905">
        <f>IFERROR(INDEX(G443:R443,1,MATCH(Parametres!$B$3,G$1:R$1,0)-1)*IF(OR(F443="L",F443="S",F443="I"),-1,1),"")</f>
        <v>0</v>
      </c>
      <c r="AM443" s="905">
        <f t="shared" si="38"/>
        <v>0</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39"/>
        <v>G31400</v>
      </c>
      <c r="AU443" s="488" t="str">
        <f t="shared" si="40"/>
        <v>MARGE DE CREDIT</v>
      </c>
      <c r="AV443" s="899">
        <f>IFERROR(INDEX(V443:AG443,1,MATCH(Parametres!$B$3,V$1:AG$1,0)-1)*IF(OR(C443="L",C443="S",C443="I"),-1,1),"")</f>
        <v>0</v>
      </c>
      <c r="AW443" s="899">
        <f t="shared" si="41"/>
        <v>0</v>
      </c>
      <c r="AX443" s="899">
        <f>INDEX(V443:AG443,1,MATCH(Parametres!$B$3,V$1:AG$1,0))*IF(OR(C443="L",C443="S",C443="I"),-1,1)</f>
        <v>0</v>
      </c>
      <c r="AY443" s="487" t="s">
        <v>337</v>
      </c>
      <c r="AZ443" s="487">
        <f>+VLOOKUP($AJ443,Data_Validation!$A:$E,5,0)</f>
        <v>0</v>
      </c>
    </row>
    <row r="444" spans="1:52" ht="15.75" hidden="1" customHeight="1">
      <c r="A444" s="706" t="s">
        <v>1148</v>
      </c>
      <c r="B444" s="706">
        <v>2025</v>
      </c>
      <c r="C444" s="706" t="s">
        <v>2088</v>
      </c>
      <c r="D444" s="706" t="s">
        <v>2089</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G31500</v>
      </c>
      <c r="AK444" s="905" t="str">
        <f t="shared" si="37"/>
        <v>T.P.S. PAYABLE</v>
      </c>
      <c r="AL444" s="905">
        <f>IFERROR(INDEX(G444:R444,1,MATCH(Parametres!$B$3,G$1:R$1,0)-1)*IF(OR(F444="L",F444="S",F444="I"),-1,1),"")</f>
        <v>0</v>
      </c>
      <c r="AM444" s="905">
        <f t="shared" si="38"/>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39"/>
        <v>G31500</v>
      </c>
      <c r="AU444" s="488" t="str">
        <f t="shared" si="40"/>
        <v>T.P.S. PAYABLE</v>
      </c>
      <c r="AV444" s="899">
        <f>IFERROR(INDEX(V444:AG444,1,MATCH(Parametres!$B$3,V$1:AG$1,0)-1)*IF(OR(C444="L",C444="S",C444="I"),-1,1),"")</f>
        <v>0</v>
      </c>
      <c r="AW444" s="899">
        <f t="shared" si="41"/>
        <v>0</v>
      </c>
      <c r="AX444" s="899">
        <f>INDEX(V444:AG444,1,MATCH(Parametres!$B$3,V$1:AG$1,0))*IF(OR(C444="L",C444="S",C444="I"),-1,1)</f>
        <v>0</v>
      </c>
      <c r="AY444" s="487" t="s">
        <v>337</v>
      </c>
      <c r="AZ444" s="487" t="e">
        <f>+VLOOKUP($AJ444,Data_Validation!$A:$E,5,0)</f>
        <v>#N/A</v>
      </c>
    </row>
    <row r="445" spans="1:52" ht="15.75" hidden="1" customHeight="1">
      <c r="A445" s="706" t="s">
        <v>1148</v>
      </c>
      <c r="B445" s="706">
        <v>2025</v>
      </c>
      <c r="C445" s="706" t="s">
        <v>2090</v>
      </c>
      <c r="D445" s="706" t="s">
        <v>2091</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G32000</v>
      </c>
      <c r="AK445" s="905" t="str">
        <f t="shared" si="37"/>
        <v>INTERETS A/P</v>
      </c>
      <c r="AL445" s="905">
        <f>IFERROR(INDEX(G445:R445,1,MATCH(Parametres!$B$3,G$1:R$1,0)-1)*IF(OR(F445="L",F445="S",F445="I"),-1,1),"")</f>
        <v>0</v>
      </c>
      <c r="AM445" s="905">
        <f t="shared" si="38"/>
        <v>0</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39"/>
        <v>G32000</v>
      </c>
      <c r="AU445" s="488" t="str">
        <f t="shared" si="40"/>
        <v>INTERETS A/P</v>
      </c>
      <c r="AV445" s="899">
        <f>IFERROR(INDEX(V445:AG445,1,MATCH(Parametres!$B$3,V$1:AG$1,0)-1)*IF(OR(C445="L",C445="S",C445="I"),-1,1),"")</f>
        <v>0</v>
      </c>
      <c r="AW445" s="899">
        <f t="shared" si="41"/>
        <v>0</v>
      </c>
      <c r="AX445" s="899">
        <f>INDEX(V445:AG445,1,MATCH(Parametres!$B$3,V$1:AG$1,0))*IF(OR(C445="L",C445="S",C445="I"),-1,1)</f>
        <v>0</v>
      </c>
      <c r="AY445" s="487" t="s">
        <v>337</v>
      </c>
      <c r="AZ445" s="487">
        <f>+VLOOKUP($AJ445,Data_Validation!$A:$E,5,0)</f>
        <v>0</v>
      </c>
    </row>
    <row r="446" spans="1:52" ht="15.75" hidden="1" customHeight="1">
      <c r="A446" s="706" t="s">
        <v>1148</v>
      </c>
      <c r="B446" s="706">
        <v>2025</v>
      </c>
      <c r="C446" s="706" t="s">
        <v>2092</v>
      </c>
      <c r="D446" s="706" t="s">
        <v>2093</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G3210A</v>
      </c>
      <c r="AK446" s="905" t="str">
        <f t="shared" si="37"/>
        <v>ASS-COLLECTIVE A PAYER</v>
      </c>
      <c r="AL446" s="905">
        <f>IFERROR(INDEX(G446:R446,1,MATCH(Parametres!$B$3,G$1:R$1,0)-1)*IF(OR(F446="L",F446="S",F446="I"),-1,1),"")</f>
        <v>610.77</v>
      </c>
      <c r="AM446" s="905">
        <f t="shared" si="38"/>
        <v>-8570.9500000000007</v>
      </c>
      <c r="AN446" s="905">
        <f>INDEX(G446:R446,1,MATCH(Parametres!$B$3,G$1:R$1,0))*IF(OR(F446="L",F446="S",F446="I"),-1,1)</f>
        <v>-7960.18</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39"/>
        <v>G3210A</v>
      </c>
      <c r="AU446" s="488" t="str">
        <f t="shared" si="40"/>
        <v>ASS-COLLECTIVE A PAYER</v>
      </c>
      <c r="AV446" s="899">
        <f>IFERROR(INDEX(V446:AG446,1,MATCH(Parametres!$B$3,V$1:AG$1,0)-1)*IF(OR(C446="L",C446="S",C446="I"),-1,1),"")</f>
        <v>0</v>
      </c>
      <c r="AW446" s="899">
        <f t="shared" si="41"/>
        <v>0</v>
      </c>
      <c r="AX446" s="899">
        <f>INDEX(V446:AG446,1,MATCH(Parametres!$B$3,V$1:AG$1,0))*IF(OR(C446="L",C446="S",C446="I"),-1,1)</f>
        <v>0</v>
      </c>
      <c r="AY446" s="487" t="s">
        <v>337</v>
      </c>
      <c r="AZ446" s="487">
        <f>+VLOOKUP($AJ446,Data_Validation!$A:$E,5,0)</f>
        <v>0</v>
      </c>
    </row>
    <row r="447" spans="1:52" ht="15.75" hidden="1" customHeight="1">
      <c r="A447" s="706" t="s">
        <v>1148</v>
      </c>
      <c r="B447" s="706">
        <v>2025</v>
      </c>
      <c r="C447" s="706" t="s">
        <v>2094</v>
      </c>
      <c r="D447" s="706" t="s">
        <v>2095</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G32100</v>
      </c>
      <c r="AK447" s="905" t="str">
        <f t="shared" si="37"/>
        <v>SALAIRES &amp; COMM. A PAYER</v>
      </c>
      <c r="AL447" s="905">
        <f>IFERROR(INDEX(G447:R447,1,MATCH(Parametres!$B$3,G$1:R$1,0)-1)*IF(OR(F447="L",F447="S",F447="I"),-1,1),"")</f>
        <v>-116646.41</v>
      </c>
      <c r="AM447" s="905">
        <f t="shared" si="38"/>
        <v>116646.41</v>
      </c>
      <c r="AN447" s="905">
        <f>INDEX(G447:R447,1,MATCH(Parametres!$B$3,G$1:R$1,0))*IF(OR(F447="L",F447="S",F447="I"),-1,1)</f>
        <v>0</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39"/>
        <v>G32100</v>
      </c>
      <c r="AU447" s="488" t="str">
        <f t="shared" si="40"/>
        <v>SALAIRES &amp; COMM. A PAYER</v>
      </c>
      <c r="AV447" s="899">
        <f>IFERROR(INDEX(V447:AG447,1,MATCH(Parametres!$B$3,V$1:AG$1,0)-1)*IF(OR(C447="L",C447="S",C447="I"),-1,1),"")</f>
        <v>0</v>
      </c>
      <c r="AW447" s="899">
        <f t="shared" si="41"/>
        <v>0</v>
      </c>
      <c r="AX447" s="899">
        <f>INDEX(V447:AG447,1,MATCH(Parametres!$B$3,V$1:AG$1,0))*IF(OR(C447="L",C447="S",C447="I"),-1,1)</f>
        <v>0</v>
      </c>
      <c r="AY447" s="487" t="s">
        <v>337</v>
      </c>
      <c r="AZ447" s="487">
        <f>+VLOOKUP($AJ447,Data_Validation!$A:$E,5,0)</f>
        <v>0</v>
      </c>
    </row>
    <row r="448" spans="1:52" ht="15.75" hidden="1" customHeight="1">
      <c r="A448" s="706" t="s">
        <v>1148</v>
      </c>
      <c r="B448" s="706">
        <v>2025</v>
      </c>
      <c r="C448" s="706" t="s">
        <v>2096</v>
      </c>
      <c r="D448" s="706" t="s">
        <v>2097</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G32101</v>
      </c>
      <c r="AK448" s="905" t="str">
        <f t="shared" si="37"/>
        <v>COMMISSIONS A PAYER</v>
      </c>
      <c r="AL448" s="905">
        <f>IFERROR(INDEX(G448:R448,1,MATCH(Parametres!$B$3,G$1:R$1,0)-1)*IF(OR(F448="L",F448="S",F448="I"),-1,1),"")</f>
        <v>-184454.92</v>
      </c>
      <c r="AM448" s="905">
        <f t="shared" si="38"/>
        <v>169008.28000000003</v>
      </c>
      <c r="AN448" s="905">
        <f>INDEX(G448:R448,1,MATCH(Parametres!$B$3,G$1:R$1,0))*IF(OR(F448="L",F448="S",F448="I"),-1,1)</f>
        <v>-15446.64</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39"/>
        <v>G32101</v>
      </c>
      <c r="AU448" s="488" t="str">
        <f t="shared" si="40"/>
        <v>COMMISSIONS A PAYER</v>
      </c>
      <c r="AV448" s="899">
        <f>IFERROR(INDEX(V448:AG448,1,MATCH(Parametres!$B$3,V$1:AG$1,0)-1)*IF(OR(C448="L",C448="S",C448="I"),-1,1),"")</f>
        <v>0</v>
      </c>
      <c r="AW448" s="899">
        <f t="shared" si="41"/>
        <v>0</v>
      </c>
      <c r="AX448" s="899">
        <f>INDEX(V448:AG448,1,MATCH(Parametres!$B$3,V$1:AG$1,0))*IF(OR(C448="L",C448="S",C448="I"),-1,1)</f>
        <v>0</v>
      </c>
      <c r="AY448" s="487" t="s">
        <v>337</v>
      </c>
      <c r="AZ448" s="487">
        <f>+VLOOKUP($AJ448,Data_Validation!$A:$E,5,0)</f>
        <v>0</v>
      </c>
    </row>
    <row r="449" spans="1:52" ht="15.75" hidden="1" customHeight="1">
      <c r="A449" s="706" t="s">
        <v>1148</v>
      </c>
      <c r="B449" s="706">
        <v>2025</v>
      </c>
      <c r="C449" s="706" t="s">
        <v>2098</v>
      </c>
      <c r="D449" s="706" t="s">
        <v>2099</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G32102</v>
      </c>
      <c r="AK449" s="905" t="str">
        <f t="shared" si="37"/>
        <v>SALAIRES A PAYER</v>
      </c>
      <c r="AL449" s="905">
        <f>IFERROR(INDEX(G449:R449,1,MATCH(Parametres!$B$3,G$1:R$1,0)-1)*IF(OR(F449="L",F449="S",F449="I"),-1,1),"")</f>
        <v>0</v>
      </c>
      <c r="AM449" s="905">
        <f t="shared" si="38"/>
        <v>0</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39"/>
        <v>G32102</v>
      </c>
      <c r="AU449" s="488" t="str">
        <f t="shared" si="40"/>
        <v>SALAIRES A PAYER</v>
      </c>
      <c r="AV449" s="899">
        <f>IFERROR(INDEX(V449:AG449,1,MATCH(Parametres!$B$3,V$1:AG$1,0)-1)*IF(OR(C449="L",C449="S",C449="I"),-1,1),"")</f>
        <v>0</v>
      </c>
      <c r="AW449" s="899">
        <f t="shared" si="41"/>
        <v>0</v>
      </c>
      <c r="AX449" s="899">
        <f>INDEX(V449:AG449,1,MATCH(Parametres!$B$3,V$1:AG$1,0))*IF(OR(C449="L",C449="S",C449="I"),-1,1)</f>
        <v>0</v>
      </c>
      <c r="AY449" s="487" t="s">
        <v>337</v>
      </c>
      <c r="AZ449" s="487">
        <f>+VLOOKUP($AJ449,Data_Validation!$A:$E,5,0)</f>
        <v>0</v>
      </c>
    </row>
    <row r="450" spans="1:52" ht="15.75" hidden="1" customHeight="1">
      <c r="A450" s="706" t="s">
        <v>1148</v>
      </c>
      <c r="B450" s="706">
        <v>2025</v>
      </c>
      <c r="C450" s="706" t="s">
        <v>2100</v>
      </c>
      <c r="D450" s="706" t="s">
        <v>2101</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G32301</v>
      </c>
      <c r="AK450" s="905" t="str">
        <f t="shared" si="37"/>
        <v>REER COLLECTIF A PAYER</v>
      </c>
      <c r="AL450" s="905">
        <f>IFERROR(INDEX(G450:R450,1,MATCH(Parametres!$B$3,G$1:R$1,0)-1)*IF(OR(F450="L",F450="S",F450="I"),-1,1),"")</f>
        <v>0</v>
      </c>
      <c r="AM450" s="905">
        <f t="shared" si="38"/>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39"/>
        <v>G32301</v>
      </c>
      <c r="AU450" s="488" t="str">
        <f t="shared" si="40"/>
        <v>REER COLLECTIF A PAYER</v>
      </c>
      <c r="AV450" s="899">
        <f>IFERROR(INDEX(V450:AG450,1,MATCH(Parametres!$B$3,V$1:AG$1,0)-1)*IF(OR(C450="L",C450="S",C450="I"),-1,1),"")</f>
        <v>0</v>
      </c>
      <c r="AW450" s="899">
        <f t="shared" si="41"/>
        <v>0</v>
      </c>
      <c r="AX450" s="899">
        <f>INDEX(V450:AG450,1,MATCH(Parametres!$B$3,V$1:AG$1,0))*IF(OR(C450="L",C450="S",C450="I"),-1,1)</f>
        <v>0</v>
      </c>
      <c r="AY450" s="487" t="s">
        <v>337</v>
      </c>
      <c r="AZ450" s="487" t="e">
        <f>+VLOOKUP($AJ450,Data_Validation!$A:$E,5,0)</f>
        <v>#N/A</v>
      </c>
    </row>
    <row r="451" spans="1:52" ht="15.75" hidden="1" customHeight="1">
      <c r="A451" s="706" t="s">
        <v>1148</v>
      </c>
      <c r="B451" s="706">
        <v>2025</v>
      </c>
      <c r="C451" s="706" t="s">
        <v>2102</v>
      </c>
      <c r="D451" s="706" t="s">
        <v>2103</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G32302</v>
      </c>
      <c r="AK451" s="905" t="str">
        <f t="shared" si="37"/>
        <v>ASSURANCE CHOMAGE A PAYER</v>
      </c>
      <c r="AL451" s="905">
        <f>IFERROR(INDEX(G451:R451,1,MATCH(Parametres!$B$3,G$1:R$1,0)-1)*IF(OR(F451="L",F451="S",F451="I"),-1,1),"")</f>
        <v>0</v>
      </c>
      <c r="AM451" s="905">
        <f t="shared" si="38"/>
        <v>0</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39"/>
        <v>G32302</v>
      </c>
      <c r="AU451" s="488" t="str">
        <f t="shared" si="40"/>
        <v>ASSURANCE CHOMAGE A PAYER</v>
      </c>
      <c r="AV451" s="899">
        <f>IFERROR(INDEX(V451:AG451,1,MATCH(Parametres!$B$3,V$1:AG$1,0)-1)*IF(OR(C451="L",C451="S",C451="I"),-1,1),"")</f>
        <v>0</v>
      </c>
      <c r="AW451" s="899">
        <f t="shared" si="41"/>
        <v>0</v>
      </c>
      <c r="AX451" s="899">
        <f>INDEX(V451:AG451,1,MATCH(Parametres!$B$3,V$1:AG$1,0))*IF(OR(C451="L",C451="S",C451="I"),-1,1)</f>
        <v>0</v>
      </c>
      <c r="AY451" s="487" t="s">
        <v>337</v>
      </c>
      <c r="AZ451" s="487">
        <f>+VLOOKUP($AJ451,Data_Validation!$A:$E,5,0)</f>
        <v>0</v>
      </c>
    </row>
    <row r="452" spans="1:52" ht="15.75" hidden="1" customHeight="1">
      <c r="A452" s="706" t="s">
        <v>1148</v>
      </c>
      <c r="B452" s="706">
        <v>2025</v>
      </c>
      <c r="C452" s="706" t="s">
        <v>2104</v>
      </c>
      <c r="D452" s="706" t="s">
        <v>2105</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G32303</v>
      </c>
      <c r="AK452" s="905" t="str">
        <f t="shared" ref="AK452:AK466" si="43">D452</f>
        <v>DON CHARITE A PAYER CENTR</v>
      </c>
      <c r="AL452" s="905">
        <f>IFERROR(INDEX(G452:R452,1,MATCH(Parametres!$B$3,G$1:R$1,0)-1)*IF(OR(F452="L",F452="S",F452="I"),-1,1),"")</f>
        <v>0</v>
      </c>
      <c r="AM452" s="905">
        <f t="shared" ref="AM452:AM515" si="44">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T515" si="45">C452</f>
        <v>G32303</v>
      </c>
      <c r="AU452" s="488" t="str">
        <f t="shared" ref="AU452:AU515" si="46">D452</f>
        <v>DON CHARITE A PAYER CENTR</v>
      </c>
      <c r="AV452" s="899">
        <f>IFERROR(INDEX(V452:AG452,1,MATCH(Parametres!$B$3,V$1:AG$1,0)-1)*IF(OR(C452="L",C452="S",C452="I"),-1,1),"")</f>
        <v>0</v>
      </c>
      <c r="AW452" s="899">
        <f t="shared" ref="AW452:AW515" si="47">AX452-AV452</f>
        <v>0</v>
      </c>
      <c r="AX452" s="899">
        <f>INDEX(V452:AG452,1,MATCH(Parametres!$B$3,V$1:AG$1,0))*IF(OR(C452="L",C452="S",C452="I"),-1,1)</f>
        <v>0</v>
      </c>
      <c r="AY452" s="487" t="s">
        <v>337</v>
      </c>
      <c r="AZ452" s="487" t="e">
        <f>+VLOOKUP($AJ452,Data_Validation!$A:$E,5,0)</f>
        <v>#N/A</v>
      </c>
    </row>
    <row r="453" spans="1:52" ht="15" hidden="1" customHeight="1">
      <c r="A453" s="706" t="s">
        <v>1148</v>
      </c>
      <c r="B453" s="706">
        <v>2025</v>
      </c>
      <c r="C453" s="706" t="s">
        <v>2106</v>
      </c>
      <c r="D453" s="706" t="s">
        <v>2107</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G32304</v>
      </c>
      <c r="AK453" s="905" t="str">
        <f t="shared" si="43"/>
        <v>IMPOT FEDERAL A PAYER</v>
      </c>
      <c r="AL453" s="905">
        <f>IFERROR(INDEX(G453:R453,1,MATCH(Parametres!$B$3,G$1:R$1,0)-1)*IF(OR(F453="L",F453="S",F453="I"),-1,1),"")</f>
        <v>331845.78000000003</v>
      </c>
      <c r="AM453" s="905">
        <f t="shared" si="44"/>
        <v>21000</v>
      </c>
      <c r="AN453" s="905">
        <f>INDEX(G453:R453,1,MATCH(Parametres!$B$3,G$1:R$1,0))*IF(OR(F453="L",F453="S",F453="I"),-1,1)</f>
        <v>352845.78</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45"/>
        <v>G32304</v>
      </c>
      <c r="AU453" s="488" t="str">
        <f t="shared" si="46"/>
        <v>IMPOT FEDERAL A PAYER</v>
      </c>
      <c r="AV453" s="899">
        <f>IFERROR(INDEX(V453:AG453,1,MATCH(Parametres!$B$3,V$1:AG$1,0)-1)*IF(OR(C453="L",C453="S",C453="I"),-1,1),"")</f>
        <v>0</v>
      </c>
      <c r="AW453" s="899">
        <f t="shared" si="47"/>
        <v>0</v>
      </c>
      <c r="AX453" s="899">
        <f>INDEX(V453:AG453,1,MATCH(Parametres!$B$3,V$1:AG$1,0))*IF(OR(C453="L",C453="S",C453="I"),-1,1)</f>
        <v>0</v>
      </c>
      <c r="AY453" s="487" t="s">
        <v>337</v>
      </c>
      <c r="AZ453" s="487">
        <f>+VLOOKUP($AJ453,Data_Validation!$A:$E,5,0)</f>
        <v>0</v>
      </c>
    </row>
    <row r="454" spans="1:52" ht="15" hidden="1" customHeight="1">
      <c r="A454" s="706" t="s">
        <v>1148</v>
      </c>
      <c r="B454" s="706">
        <v>2025</v>
      </c>
      <c r="C454" s="706" t="s">
        <v>2108</v>
      </c>
      <c r="D454" s="706" t="s">
        <v>2109</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G32305</v>
      </c>
      <c r="AK454" s="905" t="str">
        <f t="shared" si="43"/>
        <v>REGIME ASS. MALADIE PAYER</v>
      </c>
      <c r="AL454" s="905">
        <f>IFERROR(INDEX(G454:R454,1,MATCH(Parametres!$B$3,G$1:R$1,0)-1)*IF(OR(F454="L",F454="S",F454="I"),-1,1),"")</f>
        <v>0</v>
      </c>
      <c r="AM454" s="905">
        <f t="shared" si="44"/>
        <v>0</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45"/>
        <v>G32305</v>
      </c>
      <c r="AU454" s="488" t="str">
        <f t="shared" si="46"/>
        <v>REGIME ASS. MALADIE PAYER</v>
      </c>
      <c r="AV454" s="899">
        <f>IFERROR(INDEX(V454:AG454,1,MATCH(Parametres!$B$3,V$1:AG$1,0)-1)*IF(OR(C454="L",C454="S",C454="I"),-1,1),"")</f>
        <v>0</v>
      </c>
      <c r="AW454" s="899">
        <f t="shared" si="47"/>
        <v>0</v>
      </c>
      <c r="AX454" s="899">
        <f>INDEX(V454:AG454,1,MATCH(Parametres!$B$3,V$1:AG$1,0))*IF(OR(C454="L",C454="S",C454="I"),-1,1)</f>
        <v>0</v>
      </c>
      <c r="AY454" s="487" t="s">
        <v>337</v>
      </c>
      <c r="AZ454" s="487">
        <f>+VLOOKUP($AJ454,Data_Validation!$A:$E,5,0)</f>
        <v>0</v>
      </c>
    </row>
    <row r="455" spans="1:52" ht="15" hidden="1" customHeight="1">
      <c r="A455" s="706" t="s">
        <v>1148</v>
      </c>
      <c r="B455" s="706">
        <v>2025</v>
      </c>
      <c r="C455" s="706" t="s">
        <v>2110</v>
      </c>
      <c r="D455" s="706" t="s">
        <v>2111</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G32306</v>
      </c>
      <c r="AK455" s="905" t="str">
        <f t="shared" si="43"/>
        <v>IMPOT PROVINCIAL A PAYER</v>
      </c>
      <c r="AL455" s="905">
        <f>IFERROR(INDEX(G455:R455,1,MATCH(Parametres!$B$3,G$1:R$1,0)-1)*IF(OR(F455="L",F455="S",F455="I"),-1,1),"")</f>
        <v>342265.73</v>
      </c>
      <c r="AM455" s="905">
        <f t="shared" si="44"/>
        <v>21000</v>
      </c>
      <c r="AN455" s="905">
        <f>INDEX(G455:R455,1,MATCH(Parametres!$B$3,G$1:R$1,0))*IF(OR(F455="L",F455="S",F455="I"),-1,1)</f>
        <v>363265.73</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45"/>
        <v>G32306</v>
      </c>
      <c r="AU455" s="488" t="str">
        <f t="shared" si="46"/>
        <v>IMPOT PROVINCIAL A PAYER</v>
      </c>
      <c r="AV455" s="899">
        <f>IFERROR(INDEX(V455:AG455,1,MATCH(Parametres!$B$3,V$1:AG$1,0)-1)*IF(OR(C455="L",C455="S",C455="I"),-1,1),"")</f>
        <v>0</v>
      </c>
      <c r="AW455" s="899">
        <f t="shared" si="47"/>
        <v>0</v>
      </c>
      <c r="AX455" s="899">
        <f>INDEX(V455:AG455,1,MATCH(Parametres!$B$3,V$1:AG$1,0))*IF(OR(C455="L",C455="S",C455="I"),-1,1)</f>
        <v>0</v>
      </c>
      <c r="AY455" s="487" t="s">
        <v>337</v>
      </c>
      <c r="AZ455" s="487">
        <f>+VLOOKUP($AJ455,Data_Validation!$A:$E,5,0)</f>
        <v>0</v>
      </c>
    </row>
    <row r="456" spans="1:52" ht="15" hidden="1" customHeight="1">
      <c r="A456" s="706" t="s">
        <v>1148</v>
      </c>
      <c r="B456" s="706">
        <v>2025</v>
      </c>
      <c r="C456" s="706" t="s">
        <v>2112</v>
      </c>
      <c r="D456" s="706" t="s">
        <v>2113</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G32307</v>
      </c>
      <c r="AK456" s="905" t="str">
        <f t="shared" si="43"/>
        <v>REGIME DES RENTES QUEBEC</v>
      </c>
      <c r="AL456" s="905">
        <f>IFERROR(INDEX(G456:R456,1,MATCH(Parametres!$B$3,G$1:R$1,0)-1)*IF(OR(F456="L",F456="S",F456="I"),-1,1),"")</f>
        <v>0</v>
      </c>
      <c r="AM456" s="905">
        <f t="shared" si="44"/>
        <v>0</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45"/>
        <v>G32307</v>
      </c>
      <c r="AU456" s="488" t="str">
        <f t="shared" si="46"/>
        <v>REGIME DES RENTES QUEBEC</v>
      </c>
      <c r="AV456" s="899">
        <f>IFERROR(INDEX(V456:AG456,1,MATCH(Parametres!$B$3,V$1:AG$1,0)-1)*IF(OR(C456="L",C456="S",C456="I"),-1,1),"")</f>
        <v>0</v>
      </c>
      <c r="AW456" s="899">
        <f t="shared" si="47"/>
        <v>0</v>
      </c>
      <c r="AX456" s="899">
        <f>INDEX(V456:AG456,1,MATCH(Parametres!$B$3,V$1:AG$1,0))*IF(OR(C456="L",C456="S",C456="I"),-1,1)</f>
        <v>0</v>
      </c>
      <c r="AY456" s="487" t="s">
        <v>337</v>
      </c>
      <c r="AZ456" s="487">
        <f>+VLOOKUP($AJ456,Data_Validation!$A:$E,5,0)</f>
        <v>0</v>
      </c>
    </row>
    <row r="457" spans="1:52" ht="15" hidden="1" customHeight="1">
      <c r="A457" s="706" t="s">
        <v>1148</v>
      </c>
      <c r="B457" s="706">
        <v>2025</v>
      </c>
      <c r="C457" s="706" t="s">
        <v>2114</v>
      </c>
      <c r="D457" s="706" t="s">
        <v>2115</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G32308</v>
      </c>
      <c r="AK457" s="905" t="str">
        <f t="shared" si="43"/>
        <v>COTISATIONS COMITE EMPLOY</v>
      </c>
      <c r="AL457" s="905">
        <f>IFERROR(INDEX(G457:R457,1,MATCH(Parametres!$B$3,G$1:R$1,0)-1)*IF(OR(F457="L",F457="S",F457="I"),-1,1),"")</f>
        <v>0</v>
      </c>
      <c r="AM457" s="905">
        <f t="shared" si="44"/>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45"/>
        <v>G32308</v>
      </c>
      <c r="AU457" s="488" t="str">
        <f t="shared" si="46"/>
        <v>COTISATIONS COMITE EMPLOY</v>
      </c>
      <c r="AV457" s="899">
        <f>IFERROR(INDEX(V457:AG457,1,MATCH(Parametres!$B$3,V$1:AG$1,0)-1)*IF(OR(C457="L",C457="S",C457="I"),-1,1),"")</f>
        <v>0</v>
      </c>
      <c r="AW457" s="899">
        <f t="shared" si="47"/>
        <v>0</v>
      </c>
      <c r="AX457" s="899">
        <f>INDEX(V457:AG457,1,MATCH(Parametres!$B$3,V$1:AG$1,0))*IF(OR(C457="L",C457="S",C457="I"),-1,1)</f>
        <v>0</v>
      </c>
      <c r="AY457" s="487" t="s">
        <v>337</v>
      </c>
      <c r="AZ457" s="487" t="e">
        <f>+VLOOKUP($AJ457,Data_Validation!$A:$E,5,0)</f>
        <v>#N/A</v>
      </c>
    </row>
    <row r="458" spans="1:52" ht="15" hidden="1" customHeight="1">
      <c r="A458" s="706" t="s">
        <v>1148</v>
      </c>
      <c r="B458" s="706">
        <v>2025</v>
      </c>
      <c r="C458" s="706" t="s">
        <v>2116</v>
      </c>
      <c r="D458" s="706" t="s">
        <v>2117</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G32309</v>
      </c>
      <c r="AK458" s="905" t="str">
        <f t="shared" si="43"/>
        <v>FONDS PENSION EMPLOYES</v>
      </c>
      <c r="AL458" s="905">
        <f>IFERROR(INDEX(G458:R458,1,MATCH(Parametres!$B$3,G$1:R$1,0)-1)*IF(OR(F458="L",F458="S",F458="I"),-1,1),"")</f>
        <v>0</v>
      </c>
      <c r="AM458" s="905">
        <f t="shared" si="44"/>
        <v>0</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45"/>
        <v>G32309</v>
      </c>
      <c r="AU458" s="488" t="str">
        <f t="shared" si="46"/>
        <v>FONDS PENSION EMPLOYES</v>
      </c>
      <c r="AV458" s="899">
        <f>IFERROR(INDEX(V458:AG458,1,MATCH(Parametres!$B$3,V$1:AG$1,0)-1)*IF(OR(C458="L",C458="S",C458="I"),-1,1),"")</f>
        <v>0</v>
      </c>
      <c r="AW458" s="899">
        <f t="shared" si="47"/>
        <v>0</v>
      </c>
      <c r="AX458" s="899">
        <f>INDEX(V458:AG458,1,MATCH(Parametres!$B$3,V$1:AG$1,0))*IF(OR(C458="L",C458="S",C458="I"),-1,1)</f>
        <v>0</v>
      </c>
      <c r="AY458" s="487" t="s">
        <v>337</v>
      </c>
      <c r="AZ458" s="487">
        <f>+VLOOKUP($AJ458,Data_Validation!$A:$E,5,0)</f>
        <v>0</v>
      </c>
    </row>
    <row r="459" spans="1:52" ht="15" hidden="1" customHeight="1">
      <c r="A459" s="706" t="s">
        <v>1148</v>
      </c>
      <c r="B459" s="706">
        <v>2025</v>
      </c>
      <c r="C459" s="706" t="s">
        <v>2118</v>
      </c>
      <c r="D459" s="706" t="s">
        <v>2119</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G32310</v>
      </c>
      <c r="AK459" s="905" t="str">
        <f t="shared" si="43"/>
        <v>FONDS PENSION EMPLOYEUR</v>
      </c>
      <c r="AL459" s="905">
        <f>IFERROR(INDEX(G459:R459,1,MATCH(Parametres!$B$3,G$1:R$1,0)-1)*IF(OR(F459="L",F459="S",F459="I"),-1,1),"")</f>
        <v>0</v>
      </c>
      <c r="AM459" s="905">
        <f t="shared" si="44"/>
        <v>0</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45"/>
        <v>G32310</v>
      </c>
      <c r="AU459" s="488" t="str">
        <f t="shared" si="46"/>
        <v>FONDS PENSION EMPLOYEUR</v>
      </c>
      <c r="AV459" s="899">
        <f>IFERROR(INDEX(V459:AG459,1,MATCH(Parametres!$B$3,V$1:AG$1,0)-1)*IF(OR(C459="L",C459="S",C459="I"),-1,1),"")</f>
        <v>0</v>
      </c>
      <c r="AW459" s="899">
        <f t="shared" si="47"/>
        <v>0</v>
      </c>
      <c r="AX459" s="899">
        <f>INDEX(V459:AG459,1,MATCH(Parametres!$B$3,V$1:AG$1,0))*IF(OR(C459="L",C459="S",C459="I"),-1,1)</f>
        <v>0</v>
      </c>
      <c r="AY459" s="487" t="s">
        <v>337</v>
      </c>
      <c r="AZ459" s="487">
        <f>+VLOOKUP($AJ459,Data_Validation!$A:$E,5,0)</f>
        <v>0</v>
      </c>
    </row>
    <row r="460" spans="1:52" ht="15" hidden="1" customHeight="1">
      <c r="A460" s="706" t="s">
        <v>1148</v>
      </c>
      <c r="B460" s="706">
        <v>2025</v>
      </c>
      <c r="C460" s="706" t="s">
        <v>2120</v>
      </c>
      <c r="D460" s="706" t="s">
        <v>2121</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G32311</v>
      </c>
      <c r="AK460" s="905" t="str">
        <f t="shared" si="43"/>
        <v>RQAP A PAYER</v>
      </c>
      <c r="AL460" s="905">
        <f>IFERROR(INDEX(G460:R460,1,MATCH(Parametres!$B$3,G$1:R$1,0)-1)*IF(OR(F460="L",F460="S",F460="I"),-1,1),"")</f>
        <v>0</v>
      </c>
      <c r="AM460" s="905">
        <f t="shared" si="44"/>
        <v>0</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45"/>
        <v>G32311</v>
      </c>
      <c r="AU460" s="488" t="str">
        <f t="shared" si="46"/>
        <v>RQAP A PAYER</v>
      </c>
      <c r="AV460" s="899">
        <f>IFERROR(INDEX(V460:AG460,1,MATCH(Parametres!$B$3,V$1:AG$1,0)-1)*IF(OR(C460="L",C460="S",C460="I"),-1,1),"")</f>
        <v>0</v>
      </c>
      <c r="AW460" s="899">
        <f t="shared" si="47"/>
        <v>0</v>
      </c>
      <c r="AX460" s="899">
        <f>INDEX(V460:AG460,1,MATCH(Parametres!$B$3,V$1:AG$1,0))*IF(OR(C460="L",C460="S",C460="I"),-1,1)</f>
        <v>0</v>
      </c>
      <c r="AY460" s="487" t="s">
        <v>337</v>
      </c>
      <c r="AZ460" s="487">
        <f>+VLOOKUP($AJ460,Data_Validation!$A:$E,5,0)</f>
        <v>0</v>
      </c>
    </row>
    <row r="461" spans="1:52" ht="15" hidden="1" customHeight="1">
      <c r="A461" s="706" t="s">
        <v>1148</v>
      </c>
      <c r="B461" s="706">
        <v>2025</v>
      </c>
      <c r="C461" s="706" t="s">
        <v>2122</v>
      </c>
      <c r="D461" s="706" t="s">
        <v>2123</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G32312</v>
      </c>
      <c r="AK461" s="905" t="str">
        <f t="shared" si="43"/>
        <v>CSST A PAYER</v>
      </c>
      <c r="AL461" s="905">
        <f>IFERROR(INDEX(G461:R461,1,MATCH(Parametres!$B$3,G$1:R$1,0)-1)*IF(OR(F461="L",F461="S",F461="I"),-1,1),"")</f>
        <v>-4863.3500000000004</v>
      </c>
      <c r="AM461" s="905">
        <f t="shared" si="44"/>
        <v>-284.90999999999985</v>
      </c>
      <c r="AN461" s="905">
        <f>INDEX(G461:R461,1,MATCH(Parametres!$B$3,G$1:R$1,0))*IF(OR(F461="L",F461="S",F461="I"),-1,1)</f>
        <v>-5148.26</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45"/>
        <v>G32312</v>
      </c>
      <c r="AU461" s="488" t="str">
        <f t="shared" si="46"/>
        <v>CSST A PAYER</v>
      </c>
      <c r="AV461" s="899">
        <f>IFERROR(INDEX(V461:AG461,1,MATCH(Parametres!$B$3,V$1:AG$1,0)-1)*IF(OR(C461="L",C461="S",C461="I"),-1,1),"")</f>
        <v>0</v>
      </c>
      <c r="AW461" s="899">
        <f t="shared" si="47"/>
        <v>0</v>
      </c>
      <c r="AX461" s="899">
        <f>INDEX(V461:AG461,1,MATCH(Parametres!$B$3,V$1:AG$1,0))*IF(OR(C461="L",C461="S",C461="I"),-1,1)</f>
        <v>0</v>
      </c>
      <c r="AY461" s="487" t="s">
        <v>337</v>
      </c>
      <c r="AZ461" s="487">
        <f>+VLOOKUP($AJ461,Data_Validation!$A:$E,5,0)</f>
        <v>0</v>
      </c>
    </row>
    <row r="462" spans="1:52" ht="15" hidden="1" customHeight="1">
      <c r="A462" s="706" t="s">
        <v>1148</v>
      </c>
      <c r="B462" s="706">
        <v>2025</v>
      </c>
      <c r="C462" s="706" t="s">
        <v>2124</v>
      </c>
      <c r="D462" s="706" t="s">
        <v>2125</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G32400</v>
      </c>
      <c r="AK462" s="905" t="str">
        <f t="shared" si="43"/>
        <v>TAXES DE VENTES A PAYER</v>
      </c>
      <c r="AL462" s="905">
        <f>IFERROR(INDEX(G462:R462,1,MATCH(Parametres!$B$3,G$1:R$1,0)-1)*IF(OR(F462="L",F462="S",F462="I"),-1,1),"")</f>
        <v>-148209.82</v>
      </c>
      <c r="AM462" s="905">
        <f t="shared" si="44"/>
        <v>13648.470000000001</v>
      </c>
      <c r="AN462" s="905">
        <f>INDEX(G462:R462,1,MATCH(Parametres!$B$3,G$1:R$1,0))*IF(OR(F462="L",F462="S",F462="I"),-1,1)</f>
        <v>-134561.35</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45"/>
        <v>G32400</v>
      </c>
      <c r="AU462" s="488" t="str">
        <f t="shared" si="46"/>
        <v>TAXES DE VENTES A PAYER</v>
      </c>
      <c r="AV462" s="899">
        <f>IFERROR(INDEX(V462:AG462,1,MATCH(Parametres!$B$3,V$1:AG$1,0)-1)*IF(OR(C462="L",C462="S",C462="I"),-1,1),"")</f>
        <v>0</v>
      </c>
      <c r="AW462" s="899">
        <f t="shared" si="47"/>
        <v>0</v>
      </c>
      <c r="AX462" s="899">
        <f>INDEX(V462:AG462,1,MATCH(Parametres!$B$3,V$1:AG$1,0))*IF(OR(C462="L",C462="S",C462="I"),-1,1)</f>
        <v>0</v>
      </c>
      <c r="AY462" s="487" t="s">
        <v>337</v>
      </c>
      <c r="AZ462" s="487">
        <f>+VLOOKUP($AJ462,Data_Validation!$A:$E,5,0)</f>
        <v>0</v>
      </c>
    </row>
    <row r="463" spans="1:52" ht="15" hidden="1" customHeight="1">
      <c r="A463" s="706" t="s">
        <v>1148</v>
      </c>
      <c r="B463" s="706">
        <v>2025</v>
      </c>
      <c r="C463" s="706" t="s">
        <v>2126</v>
      </c>
      <c r="D463" s="706" t="s">
        <v>2127</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G32401</v>
      </c>
      <c r="AK463" s="905" t="str">
        <f t="shared" si="43"/>
        <v>T.P.S. A PAYER</v>
      </c>
      <c r="AL463" s="905">
        <f>IFERROR(INDEX(G463:R463,1,MATCH(Parametres!$B$3,G$1:R$1,0)-1)*IF(OR(F463="L",F463="S",F463="I"),-1,1),"")</f>
        <v>-989132.99</v>
      </c>
      <c r="AM463" s="905">
        <f t="shared" si="44"/>
        <v>-113670.35000000009</v>
      </c>
      <c r="AN463" s="905">
        <f>INDEX(G463:R463,1,MATCH(Parametres!$B$3,G$1:R$1,0))*IF(OR(F463="L",F463="S",F463="I"),-1,1)</f>
        <v>-1102803.3400000001</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45"/>
        <v>G32401</v>
      </c>
      <c r="AU463" s="488" t="str">
        <f t="shared" si="46"/>
        <v>T.P.S. A PAYER</v>
      </c>
      <c r="AV463" s="899">
        <f>IFERROR(INDEX(V463:AG463,1,MATCH(Parametres!$B$3,V$1:AG$1,0)-1)*IF(OR(C463="L",C463="S",C463="I"),-1,1),"")</f>
        <v>0</v>
      </c>
      <c r="AW463" s="899">
        <f t="shared" si="47"/>
        <v>0</v>
      </c>
      <c r="AX463" s="899">
        <f>INDEX(V463:AG463,1,MATCH(Parametres!$B$3,V$1:AG$1,0))*IF(OR(C463="L",C463="S",C463="I"),-1,1)</f>
        <v>0</v>
      </c>
      <c r="AY463" s="487" t="s">
        <v>337</v>
      </c>
      <c r="AZ463" s="487">
        <f>+VLOOKUP($AJ463,Data_Validation!$A:$E,5,0)</f>
        <v>0</v>
      </c>
    </row>
    <row r="464" spans="1:52" ht="15" hidden="1" customHeight="1">
      <c r="A464" s="706" t="s">
        <v>1148</v>
      </c>
      <c r="B464" s="706">
        <v>2025</v>
      </c>
      <c r="C464" s="706" t="s">
        <v>2128</v>
      </c>
      <c r="D464" s="706" t="s">
        <v>2129</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G32402</v>
      </c>
      <c r="AK464" s="905" t="str">
        <f t="shared" si="43"/>
        <v>TPA ASSURANCES</v>
      </c>
      <c r="AL464" s="905">
        <f>IFERROR(INDEX(G464:R464,1,MATCH(Parametres!$B$3,G$1:R$1,0)-1)*IF(OR(F464="L",F464="S",F464="I"),-1,1),"")</f>
        <v>-1319.04</v>
      </c>
      <c r="AM464" s="905">
        <f t="shared" si="44"/>
        <v>-896.94</v>
      </c>
      <c r="AN464" s="905">
        <f>INDEX(G464:R464,1,MATCH(Parametres!$B$3,G$1:R$1,0))*IF(OR(F464="L",F464="S",F464="I"),-1,1)</f>
        <v>-2215.98</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45"/>
        <v>G32402</v>
      </c>
      <c r="AU464" s="488" t="str">
        <f t="shared" si="46"/>
        <v>TPA ASSURANCES</v>
      </c>
      <c r="AV464" s="899">
        <f>IFERROR(INDEX(V464:AG464,1,MATCH(Parametres!$B$3,V$1:AG$1,0)-1)*IF(OR(C464="L",C464="S",C464="I"),-1,1),"")</f>
        <v>0</v>
      </c>
      <c r="AW464" s="899">
        <f t="shared" si="47"/>
        <v>0</v>
      </c>
      <c r="AX464" s="899">
        <f>INDEX(V464:AG464,1,MATCH(Parametres!$B$3,V$1:AG$1,0))*IF(OR(C464="L",C464="S",C464="I"),-1,1)</f>
        <v>0</v>
      </c>
      <c r="AY464" s="487" t="s">
        <v>337</v>
      </c>
      <c r="AZ464" s="487">
        <f>+VLOOKUP($AJ464,Data_Validation!$A:$E,5,0)</f>
        <v>0</v>
      </c>
    </row>
    <row r="465" spans="1:52" ht="15" hidden="1" customHeight="1">
      <c r="A465" s="706" t="s">
        <v>1148</v>
      </c>
      <c r="B465" s="706">
        <v>2025</v>
      </c>
      <c r="C465" s="706" t="s">
        <v>2130</v>
      </c>
      <c r="D465" s="706" t="s">
        <v>2131</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G32500</v>
      </c>
      <c r="AK465" s="905" t="str">
        <f t="shared" si="43"/>
        <v>TAXE DELUXE A PAYER</v>
      </c>
      <c r="AL465" s="905">
        <f>IFERROR(INDEX(G465:R465,1,MATCH(Parametres!$B$3,G$1:R$1,0)-1)*IF(OR(F465="L",F465="S",F465="I"),-1,1),"")</f>
        <v>-10609.64</v>
      </c>
      <c r="AM465" s="905">
        <f t="shared" si="44"/>
        <v>-9345.77</v>
      </c>
      <c r="AN465" s="905">
        <f>INDEX(G465:R465,1,MATCH(Parametres!$B$3,G$1:R$1,0))*IF(OR(F465="L",F465="S",F465="I"),-1,1)</f>
        <v>-19955.41</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45"/>
        <v>G32500</v>
      </c>
      <c r="AU465" s="488" t="str">
        <f t="shared" si="46"/>
        <v>TAXE DELUXE A PAYER</v>
      </c>
      <c r="AV465" s="899">
        <f>IFERROR(INDEX(V465:AG465,1,MATCH(Parametres!$B$3,V$1:AG$1,0)-1)*IF(OR(C465="L",C465="S",C465="I"),-1,1),"")</f>
        <v>0</v>
      </c>
      <c r="AW465" s="899">
        <f t="shared" si="47"/>
        <v>0</v>
      </c>
      <c r="AX465" s="899">
        <f>INDEX(V465:AG465,1,MATCH(Parametres!$B$3,V$1:AG$1,0))*IF(OR(C465="L",C465="S",C465="I"),-1,1)</f>
        <v>0</v>
      </c>
      <c r="AY465" s="487" t="s">
        <v>337</v>
      </c>
      <c r="AZ465" s="487">
        <f>+VLOOKUP($AJ465,Data_Validation!$A:$E,5,0)</f>
        <v>0</v>
      </c>
    </row>
    <row r="466" spans="1:52" ht="15" hidden="1" customHeight="1">
      <c r="A466" s="706" t="s">
        <v>1148</v>
      </c>
      <c r="B466" s="706">
        <v>2025</v>
      </c>
      <c r="C466" s="706" t="s">
        <v>2132</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G32700</v>
      </c>
      <c r="AK466" s="905" t="str">
        <f t="shared" si="43"/>
        <v>IMPÔTS EXIGIBLES</v>
      </c>
      <c r="AL466" s="905">
        <f>IFERROR(INDEX(G466:R466,1,MATCH(Parametres!$B$3,G$1:R$1,0)-1)*IF(OR(F466="L",F466="S",F466="I"),-1,1),"")</f>
        <v>0</v>
      </c>
      <c r="AM466" s="905">
        <f t="shared" si="44"/>
        <v>0</v>
      </c>
      <c r="AN466" s="905">
        <f>INDEX(G466:R466,1,MATCH(Parametres!$B$3,G$1:R$1,0))*IF(OR(F466="L",F466="S",F466="I"),-1,1)</f>
        <v>0</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45"/>
        <v>G32700</v>
      </c>
      <c r="AU466" s="488" t="str">
        <f t="shared" si="46"/>
        <v>IMPÔTS EXIGIBLES</v>
      </c>
      <c r="AV466" s="899">
        <f>IFERROR(INDEX(V466:AG466,1,MATCH(Parametres!$B$3,V$1:AG$1,0)-1)*IF(OR(C466="L",C466="S",C466="I"),-1,1),"")</f>
        <v>0</v>
      </c>
      <c r="AW466" s="899">
        <f t="shared" si="47"/>
        <v>0</v>
      </c>
      <c r="AX466" s="899">
        <f>INDEX(V466:AG466,1,MATCH(Parametres!$B$3,V$1:AG$1,0))*IF(OR(C466="L",C466="S",C466="I"),-1,1)</f>
        <v>0</v>
      </c>
      <c r="AY466" s="487" t="s">
        <v>337</v>
      </c>
      <c r="AZ466" s="487">
        <f>+VLOOKUP($AJ466,Data_Validation!$A:$E,5,0)</f>
        <v>0</v>
      </c>
    </row>
    <row r="467" spans="1:52" ht="15" hidden="1" customHeight="1">
      <c r="A467" s="706" t="s">
        <v>1148</v>
      </c>
      <c r="B467" s="706">
        <v>2025</v>
      </c>
      <c r="C467" s="706" t="s">
        <v>2134</v>
      </c>
      <c r="D467" s="706" t="s">
        <v>2135</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G32900</v>
      </c>
      <c r="AK467" s="905" t="str">
        <f t="shared" ref="AK467:AK530" si="49">D467</f>
        <v>BONI À PAYER PROPRIETAIRE</v>
      </c>
      <c r="AL467" s="905">
        <f>IFERROR(INDEX(G467:R467,1,MATCH(Parametres!$B$3,G$1:R$1,0)-1)*IF(OR(F467="L",F467="S",F467="I"),-1,1),"")</f>
        <v>89577.12</v>
      </c>
      <c r="AM467" s="905">
        <f t="shared" si="44"/>
        <v>-5000</v>
      </c>
      <c r="AN467" s="905">
        <f>INDEX(G467:R467,1,MATCH(Parametres!$B$3,G$1:R$1,0))*IF(OR(F467="L",F467="S",F467="I"),-1,1)</f>
        <v>84577.12</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45"/>
        <v>G32900</v>
      </c>
      <c r="AU467" s="488" t="str">
        <f t="shared" si="46"/>
        <v>BONI À PAYER PROPRIETAIRE</v>
      </c>
      <c r="AV467" s="899">
        <f>IFERROR(INDEX(V467:AG467,1,MATCH(Parametres!$B$3,V$1:AG$1,0)-1)*IF(OR(C467="L",C467="S",C467="I"),-1,1),"")</f>
        <v>0</v>
      </c>
      <c r="AW467" s="899">
        <f t="shared" si="47"/>
        <v>0</v>
      </c>
      <c r="AX467" s="899">
        <f>INDEX(V467:AG467,1,MATCH(Parametres!$B$3,V$1:AG$1,0))*IF(OR(C467="L",C467="S",C467="I"),-1,1)</f>
        <v>0</v>
      </c>
      <c r="AY467" s="487" t="s">
        <v>337</v>
      </c>
      <c r="AZ467" s="487">
        <f>+VLOOKUP($AJ467,Data_Validation!$A:$E,5,0)</f>
        <v>0</v>
      </c>
    </row>
    <row r="468" spans="1:52" ht="15" hidden="1" customHeight="1">
      <c r="A468" s="706" t="s">
        <v>1148</v>
      </c>
      <c r="B468" s="706">
        <v>2025</v>
      </c>
      <c r="C468" s="706" t="s">
        <v>2146</v>
      </c>
      <c r="D468" s="706" t="s">
        <v>2147</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G33100</v>
      </c>
      <c r="AK468" s="905" t="str">
        <f t="shared" si="49"/>
        <v>AUTRES DEPENSES A PAYER</v>
      </c>
      <c r="AL468" s="905">
        <f>IFERROR(INDEX(G468:R468,1,MATCH(Parametres!$B$3,G$1:R$1,0)-1)*IF(OR(F468="L",F468="S",F468="I"),-1,1),"")</f>
        <v>-13796.91</v>
      </c>
      <c r="AM468" s="905">
        <f t="shared" si="44"/>
        <v>3152.9799999999996</v>
      </c>
      <c r="AN468" s="905">
        <f>INDEX(G468:R468,1,MATCH(Parametres!$B$3,G$1:R$1,0))*IF(OR(F468="L",F468="S",F468="I"),-1,1)</f>
        <v>-10643.93</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45"/>
        <v>G33100</v>
      </c>
      <c r="AU468" s="488" t="str">
        <f t="shared" si="46"/>
        <v>AUTRES DEPENSES A PAYER</v>
      </c>
      <c r="AV468" s="899">
        <f>IFERROR(INDEX(V468:AG468,1,MATCH(Parametres!$B$3,V$1:AG$1,0)-1)*IF(OR(C468="L",C468="S",C468="I"),-1,1),"")</f>
        <v>0</v>
      </c>
      <c r="AW468" s="899">
        <f t="shared" si="47"/>
        <v>0</v>
      </c>
      <c r="AX468" s="899">
        <f>INDEX(V468:AG468,1,MATCH(Parametres!$B$3,V$1:AG$1,0))*IF(OR(C468="L",C468="S",C468="I"),-1,1)</f>
        <v>0</v>
      </c>
      <c r="AY468" s="487" t="s">
        <v>337</v>
      </c>
      <c r="AZ468" s="487">
        <f>+VLOOKUP($AJ468,Data_Validation!$A:$E,5,0)</f>
        <v>0</v>
      </c>
    </row>
    <row r="469" spans="1:52" ht="15" hidden="1" customHeight="1">
      <c r="A469" s="706" t="s">
        <v>1148</v>
      </c>
      <c r="B469" s="706">
        <v>2025</v>
      </c>
      <c r="C469" s="706" t="s">
        <v>2148</v>
      </c>
      <c r="D469" s="706" t="s">
        <v>2149</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G33101</v>
      </c>
      <c r="AK469" s="905" t="str">
        <f t="shared" si="49"/>
        <v>PROVISION PUBLICITE</v>
      </c>
      <c r="AL469" s="905">
        <f>IFERROR(INDEX(G469:R469,1,MATCH(Parametres!$B$3,G$1:R$1,0)-1)*IF(OR(F469="L",F469="S",F469="I"),-1,1),"")</f>
        <v>3406.25</v>
      </c>
      <c r="AM469" s="905">
        <f t="shared" si="44"/>
        <v>0</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45"/>
        <v>G33101</v>
      </c>
      <c r="AU469" s="488" t="str">
        <f t="shared" si="46"/>
        <v>PROVISION PUBLICITE</v>
      </c>
      <c r="AV469" s="899">
        <f>IFERROR(INDEX(V469:AG469,1,MATCH(Parametres!$B$3,V$1:AG$1,0)-1)*IF(OR(C469="L",C469="S",C469="I"),-1,1),"")</f>
        <v>0</v>
      </c>
      <c r="AW469" s="899">
        <f t="shared" si="47"/>
        <v>0</v>
      </c>
      <c r="AX469" s="899">
        <f>INDEX(V469:AG469,1,MATCH(Parametres!$B$3,V$1:AG$1,0))*IF(OR(C469="L",C469="S",C469="I"),-1,1)</f>
        <v>0</v>
      </c>
      <c r="AY469" s="487" t="s">
        <v>337</v>
      </c>
      <c r="AZ469" s="487">
        <f>+VLOOKUP($AJ469,Data_Validation!$A:$E,5,0)</f>
        <v>0</v>
      </c>
    </row>
    <row r="470" spans="1:52" ht="15" hidden="1" customHeight="1">
      <c r="A470" s="706" t="s">
        <v>1148</v>
      </c>
      <c r="B470" s="706">
        <v>2025</v>
      </c>
      <c r="C470" s="706" t="s">
        <v>2150</v>
      </c>
      <c r="D470" s="706" t="s">
        <v>2151</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G33102</v>
      </c>
      <c r="AK470" s="905" t="str">
        <f t="shared" si="49"/>
        <v>PROVISIONS POUR VACANCES</v>
      </c>
      <c r="AL470" s="905">
        <f>IFERROR(INDEX(G470:R470,1,MATCH(Parametres!$B$3,G$1:R$1,0)-1)*IF(OR(F470="L",F470="S",F470="I"),-1,1),"")</f>
        <v>-207981.28</v>
      </c>
      <c r="AM470" s="905">
        <f t="shared" si="44"/>
        <v>-12091.200000000012</v>
      </c>
      <c r="AN470" s="905">
        <f>INDEX(G470:R470,1,MATCH(Parametres!$B$3,G$1:R$1,0))*IF(OR(F470="L",F470="S",F470="I"),-1,1)</f>
        <v>-220072.48</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45"/>
        <v>G33102</v>
      </c>
      <c r="AU470" s="488" t="str">
        <f t="shared" si="46"/>
        <v>PROVISIONS POUR VACANCES</v>
      </c>
      <c r="AV470" s="899">
        <f>IFERROR(INDEX(V470:AG470,1,MATCH(Parametres!$B$3,V$1:AG$1,0)-1)*IF(OR(C470="L",C470="S",C470="I"),-1,1),"")</f>
        <v>0</v>
      </c>
      <c r="AW470" s="899">
        <f t="shared" si="47"/>
        <v>0</v>
      </c>
      <c r="AX470" s="899">
        <f>INDEX(V470:AG470,1,MATCH(Parametres!$B$3,V$1:AG$1,0))*IF(OR(C470="L",C470="S",C470="I"),-1,1)</f>
        <v>0</v>
      </c>
      <c r="AY470" s="487" t="s">
        <v>337</v>
      </c>
      <c r="AZ470" s="487">
        <f>+VLOOKUP($AJ470,Data_Validation!$A:$E,5,0)</f>
        <v>0</v>
      </c>
    </row>
    <row r="471" spans="1:52" ht="15" hidden="1" customHeight="1">
      <c r="A471" s="706" t="s">
        <v>1148</v>
      </c>
      <c r="B471" s="706">
        <v>2025</v>
      </c>
      <c r="C471" s="706" t="s">
        <v>2152</v>
      </c>
      <c r="D471" s="706" t="s">
        <v>2153</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G33103</v>
      </c>
      <c r="AK471" s="905" t="str">
        <f t="shared" si="49"/>
        <v>RESERVE USA</v>
      </c>
      <c r="AL471" s="905">
        <f>IFERROR(INDEX(G471:R471,1,MATCH(Parametres!$B$3,G$1:R$1,0)-1)*IF(OR(F471="L",F471="S",F471="I"),-1,1),"")</f>
        <v>-7325</v>
      </c>
      <c r="AM471" s="905">
        <f t="shared" si="44"/>
        <v>-4771.2999999999993</v>
      </c>
      <c r="AN471" s="905">
        <f>INDEX(G471:R471,1,MATCH(Parametres!$B$3,G$1:R$1,0))*IF(OR(F471="L",F471="S",F471="I"),-1,1)</f>
        <v>-12096.3</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45"/>
        <v>G33103</v>
      </c>
      <c r="AU471" s="488" t="str">
        <f t="shared" si="46"/>
        <v>RESERVE USA</v>
      </c>
      <c r="AV471" s="899">
        <f>IFERROR(INDEX(V471:AG471,1,MATCH(Parametres!$B$3,V$1:AG$1,0)-1)*IF(OR(C471="L",C471="S",C471="I"),-1,1),"")</f>
        <v>0</v>
      </c>
      <c r="AW471" s="899">
        <f t="shared" si="47"/>
        <v>0</v>
      </c>
      <c r="AX471" s="899">
        <f>INDEX(V471:AG471,1,MATCH(Parametres!$B$3,V$1:AG$1,0))*IF(OR(C471="L",C471="S",C471="I"),-1,1)</f>
        <v>0</v>
      </c>
      <c r="AY471" s="487" t="s">
        <v>337</v>
      </c>
      <c r="AZ471" s="487">
        <f>+VLOOKUP($AJ471,Data_Validation!$A:$E,5,0)</f>
        <v>0</v>
      </c>
    </row>
    <row r="472" spans="1:52" ht="15" hidden="1" customHeight="1">
      <c r="A472" s="706" t="s">
        <v>1148</v>
      </c>
      <c r="B472" s="706">
        <v>2025</v>
      </c>
      <c r="C472" s="706" t="s">
        <v>2154</v>
      </c>
      <c r="D472" s="706" t="s">
        <v>2155</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G33104</v>
      </c>
      <c r="AK472" s="905" t="str">
        <f t="shared" si="49"/>
        <v>RESERVE FLOTTES</v>
      </c>
      <c r="AL472" s="905">
        <f>IFERROR(INDEX(G472:R472,1,MATCH(Parametres!$B$3,G$1:R$1,0)-1)*IF(OR(F472="L",F472="S",F472="I"),-1,1),"")</f>
        <v>-10506</v>
      </c>
      <c r="AM472" s="905">
        <f t="shared" si="44"/>
        <v>3149</v>
      </c>
      <c r="AN472" s="905">
        <f>INDEX(G472:R472,1,MATCH(Parametres!$B$3,G$1:R$1,0))*IF(OR(F472="L",F472="S",F472="I"),-1,1)</f>
        <v>-7357</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45"/>
        <v>G33104</v>
      </c>
      <c r="AU472" s="488" t="str">
        <f t="shared" si="46"/>
        <v>RESERVE FLOTTES</v>
      </c>
      <c r="AV472" s="899">
        <f>IFERROR(INDEX(V472:AG472,1,MATCH(Parametres!$B$3,V$1:AG$1,0)-1)*IF(OR(C472="L",C472="S",C472="I"),-1,1),"")</f>
        <v>0</v>
      </c>
      <c r="AW472" s="899">
        <f t="shared" si="47"/>
        <v>0</v>
      </c>
      <c r="AX472" s="899">
        <f>INDEX(V472:AG472,1,MATCH(Parametres!$B$3,V$1:AG$1,0))*IF(OR(C472="L",C472="S",C472="I"),-1,1)</f>
        <v>0</v>
      </c>
      <c r="AY472" s="487" t="s">
        <v>337</v>
      </c>
      <c r="AZ472" s="487">
        <f>+VLOOKUP($AJ472,Data_Validation!$A:$E,5,0)</f>
        <v>0</v>
      </c>
    </row>
    <row r="473" spans="1:52" ht="15" hidden="1" customHeight="1">
      <c r="A473" s="706" t="s">
        <v>1148</v>
      </c>
      <c r="B473" s="706">
        <v>2025</v>
      </c>
      <c r="C473" s="706" t="s">
        <v>2156</v>
      </c>
      <c r="D473" s="706" t="s">
        <v>2157</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G33105</v>
      </c>
      <c r="AK473" s="905" t="str">
        <f t="shared" si="49"/>
        <v>RESERVE TRANSP.WHOLESALE</v>
      </c>
      <c r="AL473" s="905">
        <f>IFERROR(INDEX(G473:R473,1,MATCH(Parametres!$B$3,G$1:R$1,0)-1)*IF(OR(F473="L",F473="S",F473="I"),-1,1),"")</f>
        <v>-113194.34</v>
      </c>
      <c r="AM473" s="905">
        <f t="shared" si="44"/>
        <v>-3897</v>
      </c>
      <c r="AN473" s="905">
        <f>INDEX(G473:R473,1,MATCH(Parametres!$B$3,G$1:R$1,0))*IF(OR(F473="L",F473="S",F473="I"),-1,1)</f>
        <v>-117091.34</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45"/>
        <v>G33105</v>
      </c>
      <c r="AU473" s="488" t="str">
        <f t="shared" si="46"/>
        <v>RESERVE TRANSP.WHOLESALE</v>
      </c>
      <c r="AV473" s="899">
        <f>IFERROR(INDEX(V473:AG473,1,MATCH(Parametres!$B$3,V$1:AG$1,0)-1)*IF(OR(C473="L",C473="S",C473="I"),-1,1),"")</f>
        <v>0</v>
      </c>
      <c r="AW473" s="899">
        <f t="shared" si="47"/>
        <v>0</v>
      </c>
      <c r="AX473" s="899">
        <f>INDEX(V473:AG473,1,MATCH(Parametres!$B$3,V$1:AG$1,0))*IF(OR(C473="L",C473="S",C473="I"),-1,1)</f>
        <v>0</v>
      </c>
      <c r="AY473" s="487" t="s">
        <v>337</v>
      </c>
      <c r="AZ473" s="487">
        <f>+VLOOKUP($AJ473,Data_Validation!$A:$E,5,0)</f>
        <v>0</v>
      </c>
    </row>
    <row r="474" spans="1:52" ht="15" hidden="1" customHeight="1">
      <c r="A474" s="706" t="s">
        <v>1148</v>
      </c>
      <c r="B474" s="706">
        <v>2025</v>
      </c>
      <c r="C474" s="706" t="s">
        <v>2158</v>
      </c>
      <c r="D474" s="706" t="s">
        <v>2159</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G33106</v>
      </c>
      <c r="AK474" s="905" t="str">
        <f t="shared" si="49"/>
        <v>RESERVE DEMO</v>
      </c>
      <c r="AL474" s="905">
        <f>IFERROR(INDEX(G474:R474,1,MATCH(Parametres!$B$3,G$1:R$1,0)-1)*IF(OR(F474="L",F474="S",F474="I"),-1,1),"")</f>
        <v>-8266.32</v>
      </c>
      <c r="AM474" s="905">
        <f t="shared" si="44"/>
        <v>0</v>
      </c>
      <c r="AN474" s="905">
        <f>INDEX(G474:R474,1,MATCH(Parametres!$B$3,G$1:R$1,0))*IF(OR(F474="L",F474="S",F474="I"),-1,1)</f>
        <v>-8266.32</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45"/>
        <v>G33106</v>
      </c>
      <c r="AU474" s="488" t="str">
        <f t="shared" si="46"/>
        <v>RESERVE DEMO</v>
      </c>
      <c r="AV474" s="899">
        <f>IFERROR(INDEX(V474:AG474,1,MATCH(Parametres!$B$3,V$1:AG$1,0)-1)*IF(OR(C474="L",C474="S",C474="I"),-1,1),"")</f>
        <v>0</v>
      </c>
      <c r="AW474" s="899">
        <f t="shared" si="47"/>
        <v>0</v>
      </c>
      <c r="AX474" s="899">
        <f>INDEX(V474:AG474,1,MATCH(Parametres!$B$3,V$1:AG$1,0))*IF(OR(C474="L",C474="S",C474="I"),-1,1)</f>
        <v>0</v>
      </c>
      <c r="AY474" s="487" t="s">
        <v>337</v>
      </c>
      <c r="AZ474" s="487">
        <f>+VLOOKUP($AJ474,Data_Validation!$A:$E,5,0)</f>
        <v>0</v>
      </c>
    </row>
    <row r="475" spans="1:52" ht="15" hidden="1" customHeight="1">
      <c r="A475" s="706" t="s">
        <v>1148</v>
      </c>
      <c r="B475" s="706">
        <v>2025</v>
      </c>
      <c r="C475" s="706" t="s">
        <v>2160</v>
      </c>
      <c r="D475" s="706" t="s">
        <v>2161</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G33107</v>
      </c>
      <c r="AK475" s="905" t="str">
        <f t="shared" si="49"/>
        <v>ACCESSOIRES FLOTTES</v>
      </c>
      <c r="AL475" s="905">
        <f>IFERROR(INDEX(G475:R475,1,MATCH(Parametres!$B$3,G$1:R$1,0)-1)*IF(OR(F475="L",F475="S",F475="I"),-1,1),"")</f>
        <v>21489.32</v>
      </c>
      <c r="AM475" s="905">
        <f t="shared" si="44"/>
        <v>-116987</v>
      </c>
      <c r="AN475" s="905">
        <f>INDEX(G475:R475,1,MATCH(Parametres!$B$3,G$1:R$1,0))*IF(OR(F475="L",F475="S",F475="I"),-1,1)</f>
        <v>-95497.68</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45"/>
        <v>G33107</v>
      </c>
      <c r="AU475" s="488" t="str">
        <f t="shared" si="46"/>
        <v>ACCESSOIRES FLOTTES</v>
      </c>
      <c r="AV475" s="899">
        <f>IFERROR(INDEX(V475:AG475,1,MATCH(Parametres!$B$3,V$1:AG$1,0)-1)*IF(OR(C475="L",C475="S",C475="I"),-1,1),"")</f>
        <v>0</v>
      </c>
      <c r="AW475" s="899">
        <f t="shared" si="47"/>
        <v>0</v>
      </c>
      <c r="AX475" s="899">
        <f>INDEX(V475:AG475,1,MATCH(Parametres!$B$3,V$1:AG$1,0))*IF(OR(C475="L",C475="S",C475="I"),-1,1)</f>
        <v>0</v>
      </c>
      <c r="AY475" s="487" t="s">
        <v>337</v>
      </c>
      <c r="AZ475" s="487">
        <f>+VLOOKUP($AJ475,Data_Validation!$A:$E,5,0)</f>
        <v>0</v>
      </c>
    </row>
    <row r="476" spans="1:52" ht="15" hidden="1" customHeight="1">
      <c r="A476" s="706" t="s">
        <v>1148</v>
      </c>
      <c r="B476" s="706">
        <v>2025</v>
      </c>
      <c r="C476" s="706" t="s">
        <v>2162</v>
      </c>
      <c r="D476" s="706" t="s">
        <v>2163</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G33110</v>
      </c>
      <c r="AK476" s="905" t="str">
        <f t="shared" si="49"/>
        <v>RABAIS LOCATION LMB INC</v>
      </c>
      <c r="AL476" s="905">
        <f>IFERROR(INDEX(G476:R476,1,MATCH(Parametres!$B$3,G$1:R$1,0)-1)*IF(OR(F476="L",F476="S",F476="I"),-1,1),"")</f>
        <v>0</v>
      </c>
      <c r="AM476" s="905">
        <f t="shared" si="44"/>
        <v>0</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45"/>
        <v>G33110</v>
      </c>
      <c r="AU476" s="488" t="str">
        <f t="shared" si="46"/>
        <v>RABAIS LOCATION LMB INC</v>
      </c>
      <c r="AV476" s="899">
        <f>IFERROR(INDEX(V476:AG476,1,MATCH(Parametres!$B$3,V$1:AG$1,0)-1)*IF(OR(C476="L",C476="S",C476="I"),-1,1),"")</f>
        <v>0</v>
      </c>
      <c r="AW476" s="899">
        <f t="shared" si="47"/>
        <v>0</v>
      </c>
      <c r="AX476" s="899">
        <f>INDEX(V476:AG476,1,MATCH(Parametres!$B$3,V$1:AG$1,0))*IF(OR(C476="L",C476="S",C476="I"),-1,1)</f>
        <v>0</v>
      </c>
      <c r="AY476" s="487" t="s">
        <v>337</v>
      </c>
      <c r="AZ476" s="487">
        <f>+VLOOKUP($AJ476,Data_Validation!$A:$E,5,0)</f>
        <v>0</v>
      </c>
    </row>
    <row r="477" spans="1:52" ht="15" hidden="1" customHeight="1">
      <c r="A477" s="706" t="s">
        <v>1148</v>
      </c>
      <c r="B477" s="706">
        <v>2025</v>
      </c>
      <c r="C477" s="706" t="s">
        <v>2164</v>
      </c>
      <c r="D477" s="706" t="s">
        <v>2165</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G33111</v>
      </c>
      <c r="AK477" s="905" t="str">
        <f t="shared" si="49"/>
        <v>PROVISION WHOLESSALE</v>
      </c>
      <c r="AL477" s="905">
        <f>IFERROR(INDEX(G477:R477,1,MATCH(Parametres!$B$3,G$1:R$1,0)-1)*IF(OR(F477="L",F477="S",F477="I"),-1,1),"")</f>
        <v>-9930</v>
      </c>
      <c r="AM477" s="905">
        <f t="shared" si="44"/>
        <v>-800</v>
      </c>
      <c r="AN477" s="905">
        <f>INDEX(G477:R477,1,MATCH(Parametres!$B$3,G$1:R$1,0))*IF(OR(F477="L",F477="S",F477="I"),-1,1)</f>
        <v>-10730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45"/>
        <v>G33111</v>
      </c>
      <c r="AU477" s="488" t="str">
        <f t="shared" si="46"/>
        <v>PROVISION WHOLESSALE</v>
      </c>
      <c r="AV477" s="899">
        <f>IFERROR(INDEX(V477:AG477,1,MATCH(Parametres!$B$3,V$1:AG$1,0)-1)*IF(OR(C477="L",C477="S",C477="I"),-1,1),"")</f>
        <v>0</v>
      </c>
      <c r="AW477" s="899">
        <f t="shared" si="47"/>
        <v>0</v>
      </c>
      <c r="AX477" s="899">
        <f>INDEX(V477:AG477,1,MATCH(Parametres!$B$3,V$1:AG$1,0))*IF(OR(C477="L",C477="S",C477="I"),-1,1)</f>
        <v>0</v>
      </c>
      <c r="AY477" s="487" t="s">
        <v>337</v>
      </c>
      <c r="AZ477" s="487">
        <f>+VLOOKUP($AJ477,Data_Validation!$A:$E,5,0)</f>
        <v>0</v>
      </c>
    </row>
    <row r="478" spans="1:52" ht="15" hidden="1" customHeight="1">
      <c r="A478" s="706" t="s">
        <v>1148</v>
      </c>
      <c r="B478" s="706">
        <v>2025</v>
      </c>
      <c r="C478" s="706" t="s">
        <v>2166</v>
      </c>
      <c r="D478" s="706" t="s">
        <v>2167</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G33112</v>
      </c>
      <c r="AK478" s="905" t="str">
        <f t="shared" si="49"/>
        <v>PROVISION DETAIL</v>
      </c>
      <c r="AL478" s="905">
        <f>IFERROR(INDEX(G478:R478,1,MATCH(Parametres!$B$3,G$1:R$1,0)-1)*IF(OR(F478="L",F478="S",F478="I"),-1,1),"")</f>
        <v>-27140.3</v>
      </c>
      <c r="AM478" s="905">
        <f t="shared" si="44"/>
        <v>0</v>
      </c>
      <c r="AN478" s="905">
        <f>INDEX(G478:R478,1,MATCH(Parametres!$B$3,G$1:R$1,0))*IF(OR(F478="L",F478="S",F478="I"),-1,1)</f>
        <v>-27140.3</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45"/>
        <v>G33112</v>
      </c>
      <c r="AU478" s="488" t="str">
        <f t="shared" si="46"/>
        <v>PROVISION DETAIL</v>
      </c>
      <c r="AV478" s="899">
        <f>IFERROR(INDEX(V478:AG478,1,MATCH(Parametres!$B$3,V$1:AG$1,0)-1)*IF(OR(C478="L",C478="S",C478="I"),-1,1),"")</f>
        <v>0</v>
      </c>
      <c r="AW478" s="899">
        <f t="shared" si="47"/>
        <v>0</v>
      </c>
      <c r="AX478" s="899">
        <f>INDEX(V478:AG478,1,MATCH(Parametres!$B$3,V$1:AG$1,0))*IF(OR(C478="L",C478="S",C478="I"),-1,1)</f>
        <v>0</v>
      </c>
      <c r="AY478" s="487" t="s">
        <v>337</v>
      </c>
      <c r="AZ478" s="487">
        <f>+VLOOKUP($AJ478,Data_Validation!$A:$E,5,0)</f>
        <v>0</v>
      </c>
    </row>
    <row r="479" spans="1:52" ht="15" hidden="1" customHeight="1">
      <c r="A479" s="706" t="s">
        <v>1148</v>
      </c>
      <c r="B479" s="706">
        <v>2025</v>
      </c>
      <c r="C479" s="706" t="s">
        <v>2168</v>
      </c>
      <c r="D479" s="706" t="s">
        <v>2169</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G33113</v>
      </c>
      <c r="AK479" s="905" t="str">
        <f t="shared" si="49"/>
        <v>PROVISION USA</v>
      </c>
      <c r="AL479" s="905">
        <f>IFERROR(INDEX(G479:R479,1,MATCH(Parametres!$B$3,G$1:R$1,0)-1)*IF(OR(F479="L",F479="S",F479="I"),-1,1),"")</f>
        <v>-47500</v>
      </c>
      <c r="AM479" s="905">
        <f t="shared" si="44"/>
        <v>-10790</v>
      </c>
      <c r="AN479" s="905">
        <f>INDEX(G479:R479,1,MATCH(Parametres!$B$3,G$1:R$1,0))*IF(OR(F479="L",F479="S",F479="I"),-1,1)</f>
        <v>-58290</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45"/>
        <v>G33113</v>
      </c>
      <c r="AU479" s="488" t="str">
        <f t="shared" si="46"/>
        <v>PROVISION USA</v>
      </c>
      <c r="AV479" s="899">
        <f>IFERROR(INDEX(V479:AG479,1,MATCH(Parametres!$B$3,V$1:AG$1,0)-1)*IF(OR(C479="L",C479="S",C479="I"),-1,1),"")</f>
        <v>0</v>
      </c>
      <c r="AW479" s="899">
        <f t="shared" si="47"/>
        <v>0</v>
      </c>
      <c r="AX479" s="899">
        <f>INDEX(V479:AG479,1,MATCH(Parametres!$B$3,V$1:AG$1,0))*IF(OR(C479="L",C479="S",C479="I"),-1,1)</f>
        <v>0</v>
      </c>
      <c r="AY479" s="487" t="s">
        <v>337</v>
      </c>
      <c r="AZ479" s="487">
        <f>+VLOOKUP($AJ479,Data_Validation!$A:$E,5,0)</f>
        <v>0</v>
      </c>
    </row>
    <row r="480" spans="1:52" ht="15" hidden="1" customHeight="1">
      <c r="A480" s="706" t="s">
        <v>1148</v>
      </c>
      <c r="B480" s="706">
        <v>2025</v>
      </c>
      <c r="C480" s="706" t="s">
        <v>2170</v>
      </c>
      <c r="D480" s="706" t="s">
        <v>2171</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G33114</v>
      </c>
      <c r="AK480" s="905" t="str">
        <f t="shared" si="49"/>
        <v>PROVISION HERELLE</v>
      </c>
      <c r="AL480" s="905">
        <f>IFERROR(INDEX(G480:R480,1,MATCH(Parametres!$B$3,G$1:R$1,0)-1)*IF(OR(F480="L",F480="S",F480="I"),-1,1),"")</f>
        <v>-300</v>
      </c>
      <c r="AM480" s="905">
        <f t="shared" si="44"/>
        <v>-4650</v>
      </c>
      <c r="AN480" s="905">
        <f>INDEX(G480:R480,1,MATCH(Parametres!$B$3,G$1:R$1,0))*IF(OR(F480="L",F480="S",F480="I"),-1,1)</f>
        <v>-4950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45"/>
        <v>G33114</v>
      </c>
      <c r="AU480" s="488" t="str">
        <f t="shared" si="46"/>
        <v>PROVISION HERELLE</v>
      </c>
      <c r="AV480" s="899">
        <f>IFERROR(INDEX(V480:AG480,1,MATCH(Parametres!$B$3,V$1:AG$1,0)-1)*IF(OR(C480="L",C480="S",C480="I"),-1,1),"")</f>
        <v>0</v>
      </c>
      <c r="AW480" s="899">
        <f t="shared" si="47"/>
        <v>0</v>
      </c>
      <c r="AX480" s="899">
        <f>INDEX(V480:AG480,1,MATCH(Parametres!$B$3,V$1:AG$1,0))*IF(OR(C480="L",C480="S",C480="I"),-1,1)</f>
        <v>0</v>
      </c>
      <c r="AY480" s="487" t="s">
        <v>337</v>
      </c>
      <c r="AZ480" s="487">
        <f>+VLOOKUP($AJ480,Data_Validation!$A:$E,5,0)</f>
        <v>0</v>
      </c>
    </row>
    <row r="481" spans="1:52" ht="15" hidden="1" customHeight="1">
      <c r="A481" s="706" t="s">
        <v>1148</v>
      </c>
      <c r="B481" s="706">
        <v>2025</v>
      </c>
      <c r="C481" s="706" t="s">
        <v>2172</v>
      </c>
      <c r="D481" s="706" t="s">
        <v>2173</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G33115</v>
      </c>
      <c r="AK481" s="905" t="str">
        <f t="shared" si="49"/>
        <v>PROVISION LMB</v>
      </c>
      <c r="AL481" s="905">
        <f>IFERROR(INDEX(G481:R481,1,MATCH(Parametres!$B$3,G$1:R$1,0)-1)*IF(OR(F481="L",F481="S",F481="I"),-1,1),"")</f>
        <v>0</v>
      </c>
      <c r="AM481" s="905">
        <f t="shared" si="44"/>
        <v>-2284.52</v>
      </c>
      <c r="AN481" s="905">
        <f>INDEX(G481:R481,1,MATCH(Parametres!$B$3,G$1:R$1,0))*IF(OR(F481="L",F481="S",F481="I"),-1,1)</f>
        <v>-2284.52</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45"/>
        <v>G33115</v>
      </c>
      <c r="AU481" s="488" t="str">
        <f t="shared" si="46"/>
        <v>PROVISION LMB</v>
      </c>
      <c r="AV481" s="899">
        <f>IFERROR(INDEX(V481:AG481,1,MATCH(Parametres!$B$3,V$1:AG$1,0)-1)*IF(OR(C481="L",C481="S",C481="I"),-1,1),"")</f>
        <v>0</v>
      </c>
      <c r="AW481" s="899">
        <f t="shared" si="47"/>
        <v>0</v>
      </c>
      <c r="AX481" s="899">
        <f>INDEX(V481:AG481,1,MATCH(Parametres!$B$3,V$1:AG$1,0))*IF(OR(C481="L",C481="S",C481="I"),-1,1)</f>
        <v>0</v>
      </c>
      <c r="AY481" s="487" t="s">
        <v>337</v>
      </c>
      <c r="AZ481" s="487">
        <f>+VLOOKUP($AJ481,Data_Validation!$A:$E,5,0)</f>
        <v>0</v>
      </c>
    </row>
    <row r="482" spans="1:52" ht="15" hidden="1" customHeight="1">
      <c r="A482" s="706" t="s">
        <v>1148</v>
      </c>
      <c r="B482" s="706">
        <v>2025</v>
      </c>
      <c r="C482" s="706" t="s">
        <v>2178</v>
      </c>
      <c r="D482" s="706" t="s">
        <v>2179</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G33150</v>
      </c>
      <c r="AK482" s="905" t="str">
        <f t="shared" si="49"/>
        <v>SIMPLICITÉ RABAIS À PAYER</v>
      </c>
      <c r="AL482" s="905">
        <f>IFERROR(INDEX(G482:R482,1,MATCH(Parametres!$B$3,G$1:R$1,0)-1)*IF(OR(F482="L",F482="S",F482="I"),-1,1),"")</f>
        <v>-6454.1</v>
      </c>
      <c r="AM482" s="905">
        <f t="shared" si="44"/>
        <v>-16471.690000000002</v>
      </c>
      <c r="AN482" s="905">
        <f>INDEX(G482:R482,1,MATCH(Parametres!$B$3,G$1:R$1,0))*IF(OR(F482="L",F482="S",F482="I"),-1,1)</f>
        <v>-22925.79</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45"/>
        <v>G33150</v>
      </c>
      <c r="AU482" s="488" t="str">
        <f t="shared" si="46"/>
        <v>SIMPLICITÉ RABAIS À PAYER</v>
      </c>
      <c r="AV482" s="899">
        <f>IFERROR(INDEX(V482:AG482,1,MATCH(Parametres!$B$3,V$1:AG$1,0)-1)*IF(OR(C482="L",C482="S",C482="I"),-1,1),"")</f>
        <v>0</v>
      </c>
      <c r="AW482" s="899">
        <f t="shared" si="47"/>
        <v>0</v>
      </c>
      <c r="AX482" s="899">
        <f>INDEX(V482:AG482,1,MATCH(Parametres!$B$3,V$1:AG$1,0))*IF(OR(C482="L",C482="S",C482="I"),-1,1)</f>
        <v>0</v>
      </c>
      <c r="AY482" s="487" t="s">
        <v>337</v>
      </c>
      <c r="AZ482" s="487">
        <f>+VLOOKUP($AJ482,Data_Validation!$A:$E,5,0)</f>
        <v>0</v>
      </c>
    </row>
    <row r="483" spans="1:52" ht="15" hidden="1" customHeight="1">
      <c r="A483" s="706" t="s">
        <v>1148</v>
      </c>
      <c r="B483" s="706">
        <v>2025</v>
      </c>
      <c r="C483" s="706" t="s">
        <v>2180</v>
      </c>
      <c r="D483" s="706" t="s">
        <v>2181</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G33200</v>
      </c>
      <c r="AK483" s="905" t="str">
        <f t="shared" si="49"/>
        <v>RACHAT ACTIONS PRIVILEGIE</v>
      </c>
      <c r="AL483" s="905">
        <f>IFERROR(INDEX(G483:R483,1,MATCH(Parametres!$B$3,G$1:R$1,0)-1)*IF(OR(F483="L",F483="S",F483="I"),-1,1),"")</f>
        <v>0</v>
      </c>
      <c r="AM483" s="905">
        <f t="shared" si="44"/>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G33200</v>
      </c>
      <c r="AU483" s="488" t="str">
        <f t="shared" si="46"/>
        <v>RACHAT ACTIONS PRIVILEGIE</v>
      </c>
      <c r="AV483" s="899">
        <f>IFERROR(INDEX(V483:AG483,1,MATCH(Parametres!$B$3,V$1:AG$1,0)-1)*IF(OR(C483="L",C483="S",C483="I"),-1,1),"")</f>
        <v>0</v>
      </c>
      <c r="AW483" s="899">
        <f t="shared" si="47"/>
        <v>0</v>
      </c>
      <c r="AX483" s="899">
        <f>INDEX(V483:AG483,1,MATCH(Parametres!$B$3,V$1:AG$1,0))*IF(OR(C483="L",C483="S",C483="I"),-1,1)</f>
        <v>0</v>
      </c>
      <c r="AY483" s="487" t="s">
        <v>337</v>
      </c>
      <c r="AZ483" s="487" t="e">
        <f>+VLOOKUP($AJ483,Data_Validation!$A:$E,5,0)</f>
        <v>#N/A</v>
      </c>
    </row>
    <row r="484" spans="1:52" ht="15" hidden="1" customHeight="1">
      <c r="A484" s="706" t="s">
        <v>1148</v>
      </c>
      <c r="B484" s="706">
        <v>2025</v>
      </c>
      <c r="C484" s="706" t="s">
        <v>2182</v>
      </c>
      <c r="D484" s="706" t="s">
        <v>2183</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G33300</v>
      </c>
      <c r="AK484" s="905" t="str">
        <f t="shared" si="49"/>
        <v>ACTIF D'IMPOTS FUTURS</v>
      </c>
      <c r="AL484" s="905">
        <f>IFERROR(INDEX(G484:R484,1,MATCH(Parametres!$B$3,G$1:R$1,0)-1)*IF(OR(F484="L",F484="S",F484="I"),-1,1),"")</f>
        <v>30962</v>
      </c>
      <c r="AM484" s="905">
        <f t="shared" si="44"/>
        <v>0</v>
      </c>
      <c r="AN484" s="905">
        <f>INDEX(G484:R484,1,MATCH(Parametres!$B$3,G$1:R$1,0))*IF(OR(F484="L",F484="S",F484="I"),-1,1)</f>
        <v>30962</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45"/>
        <v>G33300</v>
      </c>
      <c r="AU484" s="488" t="str">
        <f t="shared" si="46"/>
        <v>ACTIF D'IMPOTS FUTURS</v>
      </c>
      <c r="AV484" s="899">
        <f>IFERROR(INDEX(V484:AG484,1,MATCH(Parametres!$B$3,V$1:AG$1,0)-1)*IF(OR(C484="L",C484="S",C484="I"),-1,1),"")</f>
        <v>0</v>
      </c>
      <c r="AW484" s="899">
        <f t="shared" si="47"/>
        <v>0</v>
      </c>
      <c r="AX484" s="899">
        <f>INDEX(V484:AG484,1,MATCH(Parametres!$B$3,V$1:AG$1,0))*IF(OR(C484="L",C484="S",C484="I"),-1,1)</f>
        <v>0</v>
      </c>
      <c r="AY484" s="487" t="s">
        <v>337</v>
      </c>
      <c r="AZ484" s="487">
        <f>+VLOOKUP($AJ484,Data_Validation!$A:$E,5,0)</f>
        <v>0</v>
      </c>
    </row>
    <row r="485" spans="1:52" ht="15" hidden="1" customHeight="1">
      <c r="A485" s="706" t="s">
        <v>1148</v>
      </c>
      <c r="B485" s="706">
        <v>2025</v>
      </c>
      <c r="C485" s="706" t="s">
        <v>2184</v>
      </c>
      <c r="D485" s="706" t="s">
        <v>2185</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G33400</v>
      </c>
      <c r="AK485" s="905" t="str">
        <f t="shared" si="49"/>
        <v>MARGE DE CRÉDIT &amp; LOYER</v>
      </c>
      <c r="AL485" s="905">
        <f>IFERROR(INDEX(G485:R485,1,MATCH(Parametres!$B$3,G$1:R$1,0)-1)*IF(OR(F485="L",F485="S",F485="I"),-1,1),"")</f>
        <v>0</v>
      </c>
      <c r="AM485" s="905">
        <f t="shared" si="44"/>
        <v>0</v>
      </c>
      <c r="AN485" s="905">
        <f>INDEX(G485:R485,1,MATCH(Parametres!$B$3,G$1:R$1,0))*IF(OR(F485="L",F485="S",F485="I"),-1,1)</f>
        <v>0</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45"/>
        <v>G33400</v>
      </c>
      <c r="AU485" s="488" t="str">
        <f t="shared" si="46"/>
        <v>MARGE DE CRÉDIT &amp; LOYER</v>
      </c>
      <c r="AV485" s="899">
        <f>IFERROR(INDEX(V485:AG485,1,MATCH(Parametres!$B$3,V$1:AG$1,0)-1)*IF(OR(C485="L",C485="S",C485="I"),-1,1),"")</f>
        <v>0</v>
      </c>
      <c r="AW485" s="899">
        <f t="shared" si="47"/>
        <v>0</v>
      </c>
      <c r="AX485" s="899">
        <f>INDEX(V485:AG485,1,MATCH(Parametres!$B$3,V$1:AG$1,0))*IF(OR(C485="L",C485="S",C485="I"),-1,1)</f>
        <v>0</v>
      </c>
      <c r="AY485" s="487" t="s">
        <v>337</v>
      </c>
      <c r="AZ485" s="487">
        <f>+VLOOKUP($AJ485,Data_Validation!$A:$E,5,0)</f>
        <v>0</v>
      </c>
    </row>
    <row r="486" spans="1:52" ht="15" hidden="1" customHeight="1">
      <c r="A486" s="706" t="s">
        <v>1148</v>
      </c>
      <c r="B486" s="706">
        <v>2025</v>
      </c>
      <c r="C486" s="706" t="s">
        <v>2186</v>
      </c>
      <c r="D486" s="706" t="s">
        <v>2187</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G33600</v>
      </c>
      <c r="AK486" s="905" t="str">
        <f t="shared" si="49"/>
        <v>RRI</v>
      </c>
      <c r="AL486" s="905">
        <f>IFERROR(INDEX(G486:R486,1,MATCH(Parametres!$B$3,G$1:R$1,0)-1)*IF(OR(F486="L",F486="S",F486="I"),-1,1),"")</f>
        <v>62787</v>
      </c>
      <c r="AM486" s="905">
        <f t="shared" si="44"/>
        <v>0</v>
      </c>
      <c r="AN486" s="905">
        <f>INDEX(G486:R486,1,MATCH(Parametres!$B$3,G$1:R$1,0))*IF(OR(F486="L",F486="S",F486="I"),-1,1)</f>
        <v>62787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45"/>
        <v>G33600</v>
      </c>
      <c r="AU486" s="488" t="str">
        <f t="shared" si="46"/>
        <v>RRI</v>
      </c>
      <c r="AV486" s="899">
        <f>IFERROR(INDEX(V486:AG486,1,MATCH(Parametres!$B$3,V$1:AG$1,0)-1)*IF(OR(C486="L",C486="S",C486="I"),-1,1),"")</f>
        <v>0</v>
      </c>
      <c r="AW486" s="899">
        <f t="shared" si="47"/>
        <v>0</v>
      </c>
      <c r="AX486" s="899">
        <f>INDEX(V486:AG486,1,MATCH(Parametres!$B$3,V$1:AG$1,0))*IF(OR(C486="L",C486="S",C486="I"),-1,1)</f>
        <v>0</v>
      </c>
      <c r="AY486" s="487" t="s">
        <v>337</v>
      </c>
      <c r="AZ486" s="487">
        <f>+VLOOKUP($AJ486,Data_Validation!$A:$E,5,0)</f>
        <v>0</v>
      </c>
    </row>
    <row r="487" spans="1:52" ht="15" hidden="1" customHeight="1">
      <c r="A487" s="706" t="s">
        <v>1148</v>
      </c>
      <c r="B487" s="706">
        <v>2025</v>
      </c>
      <c r="C487" s="706" t="s">
        <v>2188</v>
      </c>
      <c r="D487" s="706" t="s">
        <v>2189</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G34000</v>
      </c>
      <c r="AK487" s="905" t="str">
        <f t="shared" si="49"/>
        <v>PROV.CREANCES DOUTEUSES</v>
      </c>
      <c r="AL487" s="905">
        <f>IFERROR(INDEX(G487:R487,1,MATCH(Parametres!$B$3,G$1:R$1,0)-1)*IF(OR(F487="L",F487="S",F487="I"),-1,1),"")</f>
        <v>0</v>
      </c>
      <c r="AM487" s="905">
        <f t="shared" si="44"/>
        <v>0</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45"/>
        <v>G34000</v>
      </c>
      <c r="AU487" s="488" t="str">
        <f t="shared" si="46"/>
        <v>PROV.CREANCES DOUTEUSES</v>
      </c>
      <c r="AV487" s="899">
        <f>IFERROR(INDEX(V487:AG487,1,MATCH(Parametres!$B$3,V$1:AG$1,0)-1)*IF(OR(C487="L",C487="S",C487="I"),-1,1),"")</f>
        <v>0</v>
      </c>
      <c r="AW487" s="899">
        <f t="shared" si="47"/>
        <v>0</v>
      </c>
      <c r="AX487" s="899">
        <f>INDEX(V487:AG487,1,MATCH(Parametres!$B$3,V$1:AG$1,0))*IF(OR(C487="L",C487="S",C487="I"),-1,1)</f>
        <v>0</v>
      </c>
      <c r="AY487" s="487" t="s">
        <v>337</v>
      </c>
      <c r="AZ487" s="487">
        <f>+VLOOKUP($AJ487,Data_Validation!$A:$E,5,0)</f>
        <v>0</v>
      </c>
    </row>
    <row r="488" spans="1:52" ht="15" hidden="1" customHeight="1">
      <c r="A488" s="706" t="s">
        <v>1148</v>
      </c>
      <c r="B488" s="706">
        <v>2025</v>
      </c>
      <c r="C488" s="706" t="s">
        <v>2190</v>
      </c>
      <c r="D488" s="706" t="s">
        <v>2191</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G35200</v>
      </c>
      <c r="AK488" s="905" t="str">
        <f t="shared" si="49"/>
        <v>AMORT.ACC.MACHINERIE,EQUI</v>
      </c>
      <c r="AL488" s="905">
        <f>IFERROR(INDEX(G488:R488,1,MATCH(Parametres!$B$3,G$1:R$1,0)-1)*IF(OR(F488="L",F488="S",F488="I"),-1,1),"")</f>
        <v>-1379220</v>
      </c>
      <c r="AM488" s="905">
        <f t="shared" si="44"/>
        <v>-5029.8600000001024</v>
      </c>
      <c r="AN488" s="905">
        <f>INDEX(G488:R488,1,MATCH(Parametres!$B$3,G$1:R$1,0))*IF(OR(F488="L",F488="S",F488="I"),-1,1)</f>
        <v>-1384249.86</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45"/>
        <v>G35200</v>
      </c>
      <c r="AU488" s="488" t="str">
        <f t="shared" si="46"/>
        <v>AMORT.ACC.MACHINERIE,EQUI</v>
      </c>
      <c r="AV488" s="899">
        <f>IFERROR(INDEX(V488:AG488,1,MATCH(Parametres!$B$3,V$1:AG$1,0)-1)*IF(OR(C488="L",C488="S",C488="I"),-1,1),"")</f>
        <v>0</v>
      </c>
      <c r="AW488" s="899">
        <f t="shared" si="47"/>
        <v>0</v>
      </c>
      <c r="AX488" s="899">
        <f>INDEX(V488:AG488,1,MATCH(Parametres!$B$3,V$1:AG$1,0))*IF(OR(C488="L",C488="S",C488="I"),-1,1)</f>
        <v>0</v>
      </c>
      <c r="AY488" s="487" t="s">
        <v>337</v>
      </c>
      <c r="AZ488" s="487">
        <f>+VLOOKUP($AJ488,Data_Validation!$A:$E,5,0)</f>
        <v>0</v>
      </c>
    </row>
    <row r="489" spans="1:52" ht="15" hidden="1" customHeight="1">
      <c r="A489" s="706" t="s">
        <v>1148</v>
      </c>
      <c r="B489" s="706">
        <v>2025</v>
      </c>
      <c r="C489" s="706" t="s">
        <v>2194</v>
      </c>
      <c r="D489" s="706" t="s">
        <v>2195</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G35300</v>
      </c>
      <c r="AK489" s="905" t="str">
        <f t="shared" si="49"/>
        <v>AMORT.PNEUSACC.DEMO/COURT</v>
      </c>
      <c r="AL489" s="905">
        <f>IFERROR(INDEX(G489:R489,1,MATCH(Parametres!$B$3,G$1:R$1,0)-1)*IF(OR(F489="L",F489="S",F489="I"),-1,1),"")</f>
        <v>-783.71</v>
      </c>
      <c r="AM489" s="905">
        <f t="shared" si="44"/>
        <v>-94.360000000000014</v>
      </c>
      <c r="AN489" s="905">
        <f>INDEX(G489:R489,1,MATCH(Parametres!$B$3,G$1:R$1,0))*IF(OR(F489="L",F489="S",F489="I"),-1,1)</f>
        <v>-878.07</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45"/>
        <v>G35300</v>
      </c>
      <c r="AU489" s="488" t="str">
        <f t="shared" si="46"/>
        <v>AMORT.PNEUSACC.DEMO/COURT</v>
      </c>
      <c r="AV489" s="899">
        <f>IFERROR(INDEX(V489:AG489,1,MATCH(Parametres!$B$3,V$1:AG$1,0)-1)*IF(OR(C489="L",C489="S",C489="I"),-1,1),"")</f>
        <v>0</v>
      </c>
      <c r="AW489" s="899">
        <f t="shared" si="47"/>
        <v>0</v>
      </c>
      <c r="AX489" s="899">
        <f>INDEX(V489:AG489,1,MATCH(Parametres!$B$3,V$1:AG$1,0))*IF(OR(C489="L",C489="S",C489="I"),-1,1)</f>
        <v>0</v>
      </c>
      <c r="AY489" s="487" t="s">
        <v>337</v>
      </c>
      <c r="AZ489" s="487">
        <f>+VLOOKUP($AJ489,Data_Validation!$A:$E,5,0)</f>
        <v>0</v>
      </c>
    </row>
    <row r="490" spans="1:52" ht="15" hidden="1" customHeight="1">
      <c r="A490" s="706" t="s">
        <v>1148</v>
      </c>
      <c r="B490" s="706">
        <v>2025</v>
      </c>
      <c r="C490" s="706" t="s">
        <v>2196</v>
      </c>
      <c r="D490" s="706" t="s">
        <v>2197</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G35400</v>
      </c>
      <c r="AK490" s="905" t="str">
        <f t="shared" si="49"/>
        <v>AMORT.ACC.&amp; EQUIP.BUR</v>
      </c>
      <c r="AL490" s="905">
        <f>IFERROR(INDEX(G490:R490,1,MATCH(Parametres!$B$3,G$1:R$1,0)-1)*IF(OR(F490="L",F490="S",F490="I"),-1,1),"")</f>
        <v>-312524.39</v>
      </c>
      <c r="AM490" s="905">
        <f t="shared" si="44"/>
        <v>-824.95999999996275</v>
      </c>
      <c r="AN490" s="905">
        <f>INDEX(G490:R490,1,MATCH(Parametres!$B$3,G$1:R$1,0))*IF(OR(F490="L",F490="S",F490="I"),-1,1)</f>
        <v>-313349.34999999998</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45"/>
        <v>G35400</v>
      </c>
      <c r="AU490" s="488" t="str">
        <f t="shared" si="46"/>
        <v>AMORT.ACC.&amp; EQUIP.BUR</v>
      </c>
      <c r="AV490" s="899">
        <f>IFERROR(INDEX(V490:AG490,1,MATCH(Parametres!$B$3,V$1:AG$1,0)-1)*IF(OR(C490="L",C490="S",C490="I"),-1,1),"")</f>
        <v>0</v>
      </c>
      <c r="AW490" s="899">
        <f t="shared" si="47"/>
        <v>0</v>
      </c>
      <c r="AX490" s="899">
        <f>INDEX(V490:AG490,1,MATCH(Parametres!$B$3,V$1:AG$1,0))*IF(OR(C490="L",C490="S",C490="I"),-1,1)</f>
        <v>0</v>
      </c>
      <c r="AY490" s="487" t="s">
        <v>337</v>
      </c>
      <c r="AZ490" s="487">
        <f>+VLOOKUP($AJ490,Data_Validation!$A:$E,5,0)</f>
        <v>0</v>
      </c>
    </row>
    <row r="491" spans="1:52" ht="15" hidden="1" customHeight="1">
      <c r="A491" s="706" t="s">
        <v>1148</v>
      </c>
      <c r="B491" s="706">
        <v>2025</v>
      </c>
      <c r="C491" s="706" t="s">
        <v>2198</v>
      </c>
      <c r="D491" s="706" t="s">
        <v>2199</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G35500</v>
      </c>
      <c r="AK491" s="905" t="str">
        <f t="shared" si="49"/>
        <v>AMORT.CUMULE VEHICULE SER</v>
      </c>
      <c r="AL491" s="905">
        <f>IFERROR(INDEX(G491:R491,1,MATCH(Parametres!$B$3,G$1:R$1,0)-1)*IF(OR(F491="L",F491="S",F491="I"),-1,1),"")</f>
        <v>-71357.63</v>
      </c>
      <c r="AM491" s="905">
        <f t="shared" si="44"/>
        <v>-1739.3600000000006</v>
      </c>
      <c r="AN491" s="905">
        <f>INDEX(G491:R491,1,MATCH(Parametres!$B$3,G$1:R$1,0))*IF(OR(F491="L",F491="S",F491="I"),-1,1)</f>
        <v>-73096.990000000005</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45"/>
        <v>G35500</v>
      </c>
      <c r="AU491" s="488" t="str">
        <f t="shared" si="46"/>
        <v>AMORT.CUMULE VEHICULE SER</v>
      </c>
      <c r="AV491" s="899">
        <f>IFERROR(INDEX(V491:AG491,1,MATCH(Parametres!$B$3,V$1:AG$1,0)-1)*IF(OR(C491="L",C491="S",C491="I"),-1,1),"")</f>
        <v>0</v>
      </c>
      <c r="AW491" s="899">
        <f t="shared" si="47"/>
        <v>0</v>
      </c>
      <c r="AX491" s="899">
        <f>INDEX(V491:AG491,1,MATCH(Parametres!$B$3,V$1:AG$1,0))*IF(OR(C491="L",C491="S",C491="I"),-1,1)</f>
        <v>0</v>
      </c>
      <c r="AY491" s="487" t="s">
        <v>337</v>
      </c>
      <c r="AZ491" s="487">
        <f>+VLOOKUP($AJ491,Data_Validation!$A:$E,5,0)</f>
        <v>0</v>
      </c>
    </row>
    <row r="492" spans="1:52" ht="15" hidden="1" customHeight="1">
      <c r="A492" s="706" t="s">
        <v>1148</v>
      </c>
      <c r="B492" s="706">
        <v>2025</v>
      </c>
      <c r="C492" s="706" t="s">
        <v>2200</v>
      </c>
      <c r="D492" s="706" t="s">
        <v>2201</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G35600</v>
      </c>
      <c r="AK492" s="905" t="str">
        <f t="shared" si="49"/>
        <v>AMORT.ACC.AMEL. LOCAT.</v>
      </c>
      <c r="AL492" s="905">
        <f>IFERROR(INDEX(G492:R492,1,MATCH(Parametres!$B$3,G$1:R$1,0)-1)*IF(OR(F492="L",F492="S",F492="I"),-1,1),"")</f>
        <v>-54088.480000000003</v>
      </c>
      <c r="AM492" s="905">
        <f t="shared" si="44"/>
        <v>-2190.1399999999994</v>
      </c>
      <c r="AN492" s="905">
        <f>INDEX(G492:R492,1,MATCH(Parametres!$B$3,G$1:R$1,0))*IF(OR(F492="L",F492="S",F492="I"),-1,1)</f>
        <v>-56278.62</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45"/>
        <v>G35600</v>
      </c>
      <c r="AU492" s="488" t="str">
        <f t="shared" si="46"/>
        <v>AMORT.ACC.AMEL. LOCAT.</v>
      </c>
      <c r="AV492" s="899">
        <f>IFERROR(INDEX(V492:AG492,1,MATCH(Parametres!$B$3,V$1:AG$1,0)-1)*IF(OR(C492="L",C492="S",C492="I"),-1,1),"")</f>
        <v>0</v>
      </c>
      <c r="AW492" s="899">
        <f t="shared" si="47"/>
        <v>0</v>
      </c>
      <c r="AX492" s="899">
        <f>INDEX(V492:AG492,1,MATCH(Parametres!$B$3,V$1:AG$1,0))*IF(OR(C492="L",C492="S",C492="I"),-1,1)</f>
        <v>0</v>
      </c>
      <c r="AY492" s="487" t="s">
        <v>337</v>
      </c>
      <c r="AZ492" s="487">
        <f>+VLOOKUP($AJ492,Data_Validation!$A:$E,5,0)</f>
        <v>0</v>
      </c>
    </row>
    <row r="493" spans="1:52" ht="15" hidden="1" customHeight="1">
      <c r="A493" s="706" t="s">
        <v>1148</v>
      </c>
      <c r="B493" s="706">
        <v>2025</v>
      </c>
      <c r="C493" s="706" t="s">
        <v>2202</v>
      </c>
      <c r="D493" s="706" t="s">
        <v>2203</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G35700</v>
      </c>
      <c r="AK493" s="905" t="str">
        <f t="shared" si="49"/>
        <v>AMORT. MATERIEL INFORM.</v>
      </c>
      <c r="AL493" s="905">
        <f>IFERROR(INDEX(G493:R493,1,MATCH(Parametres!$B$3,G$1:R$1,0)-1)*IF(OR(F493="L",F493="S",F493="I"),-1,1),"")</f>
        <v>-184255.63</v>
      </c>
      <c r="AM493" s="905">
        <f t="shared" si="44"/>
        <v>-767.82000000000698</v>
      </c>
      <c r="AN493" s="905">
        <f>INDEX(G493:R493,1,MATCH(Parametres!$B$3,G$1:R$1,0))*IF(OR(F493="L",F493="S",F493="I"),-1,1)</f>
        <v>-185023.45</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45"/>
        <v>G35700</v>
      </c>
      <c r="AU493" s="488" t="str">
        <f t="shared" si="46"/>
        <v>AMORT. MATERIEL INFORM.</v>
      </c>
      <c r="AV493" s="899">
        <f>IFERROR(INDEX(V493:AG493,1,MATCH(Parametres!$B$3,V$1:AG$1,0)-1)*IF(OR(C493="L",C493="S",C493="I"),-1,1),"")</f>
        <v>0</v>
      </c>
      <c r="AW493" s="899">
        <f t="shared" si="47"/>
        <v>0</v>
      </c>
      <c r="AX493" s="899">
        <f>INDEX(V493:AG493,1,MATCH(Parametres!$B$3,V$1:AG$1,0))*IF(OR(C493="L",C493="S",C493="I"),-1,1)</f>
        <v>0</v>
      </c>
      <c r="AY493" s="487" t="s">
        <v>337</v>
      </c>
      <c r="AZ493" s="487">
        <f>+VLOOKUP($AJ493,Data_Validation!$A:$E,5,0)</f>
        <v>0</v>
      </c>
    </row>
    <row r="494" spans="1:52" ht="15" hidden="1" customHeight="1">
      <c r="A494" s="706" t="s">
        <v>1148</v>
      </c>
      <c r="B494" s="706">
        <v>2025</v>
      </c>
      <c r="C494" s="706" t="s">
        <v>2204</v>
      </c>
      <c r="D494" s="706" t="s">
        <v>2205</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G35800</v>
      </c>
      <c r="AK494" s="905" t="str">
        <f t="shared" si="49"/>
        <v>AMORT.CUMULÉ ENSEIGNES</v>
      </c>
      <c r="AL494" s="905">
        <f>IFERROR(INDEX(G494:R494,1,MATCH(Parametres!$B$3,G$1:R$1,0)-1)*IF(OR(F494="L",F494="S",F494="I"),-1,1),"")</f>
        <v>-48850.42</v>
      </c>
      <c r="AM494" s="905">
        <f t="shared" si="44"/>
        <v>-139.7300000000032</v>
      </c>
      <c r="AN494" s="905">
        <f>INDEX(G494:R494,1,MATCH(Parametres!$B$3,G$1:R$1,0))*IF(OR(F494="L",F494="S",F494="I"),-1,1)</f>
        <v>-48990.15</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45"/>
        <v>G35800</v>
      </c>
      <c r="AU494" s="488" t="str">
        <f t="shared" si="46"/>
        <v>AMORT.CUMULÉ ENSEIGNES</v>
      </c>
      <c r="AV494" s="899">
        <f>IFERROR(INDEX(V494:AG494,1,MATCH(Parametres!$B$3,V$1:AG$1,0)-1)*IF(OR(C494="L",C494="S",C494="I"),-1,1),"")</f>
        <v>0</v>
      </c>
      <c r="AW494" s="899">
        <f t="shared" si="47"/>
        <v>0</v>
      </c>
      <c r="AX494" s="899">
        <f>INDEX(V494:AG494,1,MATCH(Parametres!$B$3,V$1:AG$1,0))*IF(OR(C494="L",C494="S",C494="I"),-1,1)</f>
        <v>0</v>
      </c>
      <c r="AY494" s="487" t="s">
        <v>337</v>
      </c>
      <c r="AZ494" s="487">
        <f>+VLOOKUP($AJ494,Data_Validation!$A:$E,5,0)</f>
        <v>0</v>
      </c>
    </row>
    <row r="495" spans="1:52" ht="15" hidden="1" customHeight="1">
      <c r="A495" s="706" t="s">
        <v>1148</v>
      </c>
      <c r="B495" s="706">
        <v>2025</v>
      </c>
      <c r="C495" s="706" t="s">
        <v>2206</v>
      </c>
      <c r="D495" s="706" t="s">
        <v>2207</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G35900</v>
      </c>
      <c r="AK495" s="905" t="str">
        <f t="shared" si="49"/>
        <v>ASPHALTE AMORT.CUMULÉ</v>
      </c>
      <c r="AL495" s="905">
        <f>IFERROR(INDEX(G495:R495,1,MATCH(Parametres!$B$3,G$1:R$1,0)-1)*IF(OR(F495="L",F495="S",F495="I"),-1,1),"")</f>
        <v>0</v>
      </c>
      <c r="AM495" s="905">
        <f t="shared" si="44"/>
        <v>0</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45"/>
        <v>G35900</v>
      </c>
      <c r="AU495" s="488" t="str">
        <f t="shared" si="46"/>
        <v>ASPHALTE AMORT.CUMULÉ</v>
      </c>
      <c r="AV495" s="899">
        <f>IFERROR(INDEX(V495:AG495,1,MATCH(Parametres!$B$3,V$1:AG$1,0)-1)*IF(OR(C495="L",C495="S",C495="I"),-1,1),"")</f>
        <v>0</v>
      </c>
      <c r="AW495" s="899">
        <f t="shared" si="47"/>
        <v>0</v>
      </c>
      <c r="AX495" s="899">
        <f>INDEX(V495:AG495,1,MATCH(Parametres!$B$3,V$1:AG$1,0))*IF(OR(C495="L",C495="S",C495="I"),-1,1)</f>
        <v>0</v>
      </c>
      <c r="AY495" s="487" t="s">
        <v>337</v>
      </c>
      <c r="AZ495" s="487">
        <f>+VLOOKUP($AJ495,Data_Validation!$A:$E,5,0)</f>
        <v>0</v>
      </c>
    </row>
    <row r="496" spans="1:52" ht="15" hidden="1" customHeight="1">
      <c r="A496" s="706" t="s">
        <v>1148</v>
      </c>
      <c r="B496" s="706">
        <v>2025</v>
      </c>
      <c r="C496" s="706" t="s">
        <v>2208</v>
      </c>
      <c r="D496" s="706" t="s">
        <v>2209</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G36000</v>
      </c>
      <c r="AK496" s="905" t="str">
        <f t="shared" si="49"/>
        <v>CAPITAL-ACTIONS</v>
      </c>
      <c r="AL496" s="905">
        <f>IFERROR(INDEX(G496:R496,1,MATCH(Parametres!$B$3,G$1:R$1,0)-1)*IF(OR(F496="L",F496="S",F496="I"),-1,1),"")</f>
        <v>0</v>
      </c>
      <c r="AM496" s="905">
        <f t="shared" si="44"/>
        <v>0</v>
      </c>
      <c r="AN496" s="905">
        <f>INDEX(G496:R496,1,MATCH(Parametres!$B$3,G$1:R$1,0))*IF(OR(F496="L",F496="S",F496="I"),-1,1)</f>
        <v>0</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45"/>
        <v>G36000</v>
      </c>
      <c r="AU496" s="488" t="str">
        <f t="shared" si="46"/>
        <v>CAPITAL-ACTIONS</v>
      </c>
      <c r="AV496" s="899">
        <f>IFERROR(INDEX(V496:AG496,1,MATCH(Parametres!$B$3,V$1:AG$1,0)-1)*IF(OR(C496="L",C496="S",C496="I"),-1,1),"")</f>
        <v>0</v>
      </c>
      <c r="AW496" s="899">
        <f t="shared" si="47"/>
        <v>0</v>
      </c>
      <c r="AX496" s="899">
        <f>INDEX(V496:AG496,1,MATCH(Parametres!$B$3,V$1:AG$1,0))*IF(OR(C496="L",C496="S",C496="I"),-1,1)</f>
        <v>0</v>
      </c>
      <c r="AY496" s="487" t="s">
        <v>337</v>
      </c>
      <c r="AZ496" s="487">
        <f>+VLOOKUP($AJ496,Data_Validation!$A:$E,5,0)</f>
        <v>0</v>
      </c>
    </row>
    <row r="497" spans="1:52" ht="15" hidden="1" customHeight="1">
      <c r="A497" s="706" t="s">
        <v>1148</v>
      </c>
      <c r="B497" s="706">
        <v>2025</v>
      </c>
      <c r="C497" s="706" t="s">
        <v>2210</v>
      </c>
      <c r="D497" s="706" t="s">
        <v>2211</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G36001</v>
      </c>
      <c r="AK497" s="905" t="str">
        <f t="shared" si="49"/>
        <v>ACTIONS A</v>
      </c>
      <c r="AL497" s="905">
        <f>IFERROR(INDEX(G497:R497,1,MATCH(Parametres!$B$3,G$1:R$1,0)-1)*IF(OR(F497="L",F497="S",F497="I"),-1,1),"")</f>
        <v>-15</v>
      </c>
      <c r="AM497" s="905">
        <f t="shared" si="44"/>
        <v>0</v>
      </c>
      <c r="AN497" s="905">
        <f>INDEX(G497:R497,1,MATCH(Parametres!$B$3,G$1:R$1,0))*IF(OR(F497="L",F497="S",F497="I"),-1,1)</f>
        <v>-15</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45"/>
        <v>G36001</v>
      </c>
      <c r="AU497" s="488" t="str">
        <f t="shared" si="46"/>
        <v>ACTIONS A</v>
      </c>
      <c r="AV497" s="899">
        <f>IFERROR(INDEX(V497:AG497,1,MATCH(Parametres!$B$3,V$1:AG$1,0)-1)*IF(OR(C497="L",C497="S",C497="I"),-1,1),"")</f>
        <v>0</v>
      </c>
      <c r="AW497" s="899">
        <f t="shared" si="47"/>
        <v>0</v>
      </c>
      <c r="AX497" s="899">
        <f>INDEX(V497:AG497,1,MATCH(Parametres!$B$3,V$1:AG$1,0))*IF(OR(C497="L",C497="S",C497="I"),-1,1)</f>
        <v>0</v>
      </c>
      <c r="AY497" s="487" t="s">
        <v>337</v>
      </c>
      <c r="AZ497" s="487">
        <f>+VLOOKUP($AJ497,Data_Validation!$A:$E,5,0)</f>
        <v>0</v>
      </c>
    </row>
    <row r="498" spans="1:52" ht="15" hidden="1" customHeight="1">
      <c r="A498" s="706" t="s">
        <v>1148</v>
      </c>
      <c r="B498" s="706">
        <v>2025</v>
      </c>
      <c r="C498" s="706" t="s">
        <v>2212</v>
      </c>
      <c r="D498" s="706" t="s">
        <v>2213</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G36002</v>
      </c>
      <c r="AK498" s="905" t="str">
        <f t="shared" si="49"/>
        <v>ACTIONS B</v>
      </c>
      <c r="AL498" s="905">
        <f>IFERROR(INDEX(G498:R498,1,MATCH(Parametres!$B$3,G$1:R$1,0)-1)*IF(OR(F498="L",F498="S",F498="I"),-1,1),"")</f>
        <v>-85</v>
      </c>
      <c r="AM498" s="905">
        <f t="shared" si="44"/>
        <v>0</v>
      </c>
      <c r="AN498" s="905">
        <f>INDEX(G498:R498,1,MATCH(Parametres!$B$3,G$1:R$1,0))*IF(OR(F498="L",F498="S",F498="I"),-1,1)</f>
        <v>-85</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45"/>
        <v>G36002</v>
      </c>
      <c r="AU498" s="488" t="str">
        <f t="shared" si="46"/>
        <v>ACTIONS B</v>
      </c>
      <c r="AV498" s="899">
        <f>IFERROR(INDEX(V498:AG498,1,MATCH(Parametres!$B$3,V$1:AG$1,0)-1)*IF(OR(C498="L",C498="S",C498="I"),-1,1),"")</f>
        <v>0</v>
      </c>
      <c r="AW498" s="899">
        <f t="shared" si="47"/>
        <v>0</v>
      </c>
      <c r="AX498" s="899">
        <f>INDEX(V498:AG498,1,MATCH(Parametres!$B$3,V$1:AG$1,0))*IF(OR(C498="L",C498="S",C498="I"),-1,1)</f>
        <v>0</v>
      </c>
      <c r="AY498" s="487" t="s">
        <v>337</v>
      </c>
      <c r="AZ498" s="487">
        <f>+VLOOKUP($AJ498,Data_Validation!$A:$E,5,0)</f>
        <v>0</v>
      </c>
    </row>
    <row r="499" spans="1:52" ht="15" hidden="1" customHeight="1">
      <c r="A499" s="706" t="s">
        <v>1148</v>
      </c>
      <c r="B499" s="706">
        <v>2025</v>
      </c>
      <c r="C499" s="706" t="s">
        <v>2214</v>
      </c>
      <c r="D499" s="706" t="s">
        <v>2215</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G36003</v>
      </c>
      <c r="AK499" s="905" t="str">
        <f t="shared" si="49"/>
        <v>ACTIONS C</v>
      </c>
      <c r="AL499" s="905">
        <f>IFERROR(INDEX(G499:R499,1,MATCH(Parametres!$B$3,G$1:R$1,0)-1)*IF(OR(F499="L",F499="S",F499="I"),-1,1),"")</f>
        <v>-85</v>
      </c>
      <c r="AM499" s="905">
        <f t="shared" si="44"/>
        <v>0</v>
      </c>
      <c r="AN499" s="905">
        <f>INDEX(G499:R499,1,MATCH(Parametres!$B$3,G$1:R$1,0))*IF(OR(F499="L",F499="S",F499="I"),-1,1)</f>
        <v>-85</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45"/>
        <v>G36003</v>
      </c>
      <c r="AU499" s="488" t="str">
        <f t="shared" si="46"/>
        <v>ACTIONS C</v>
      </c>
      <c r="AV499" s="899">
        <f>IFERROR(INDEX(V499:AG499,1,MATCH(Parametres!$B$3,V$1:AG$1,0)-1)*IF(OR(C499="L",C499="S",C499="I"),-1,1),"")</f>
        <v>0</v>
      </c>
      <c r="AW499" s="899">
        <f t="shared" si="47"/>
        <v>0</v>
      </c>
      <c r="AX499" s="899">
        <f>INDEX(V499:AG499,1,MATCH(Parametres!$B$3,V$1:AG$1,0))*IF(OR(C499="L",C499="S",C499="I"),-1,1)</f>
        <v>0</v>
      </c>
      <c r="AY499" s="487" t="s">
        <v>337</v>
      </c>
      <c r="AZ499" s="487">
        <f>+VLOOKUP($AJ499,Data_Validation!$A:$E,5,0)</f>
        <v>0</v>
      </c>
    </row>
    <row r="500" spans="1:52" ht="15" hidden="1" customHeight="1">
      <c r="A500" s="706" t="s">
        <v>1148</v>
      </c>
      <c r="B500" s="706">
        <v>2025</v>
      </c>
      <c r="C500" s="706" t="s">
        <v>2216</v>
      </c>
      <c r="D500" s="706" t="s">
        <v>2217</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G36004</v>
      </c>
      <c r="AK500" s="905" t="str">
        <f t="shared" si="49"/>
        <v>ACTIONS E</v>
      </c>
      <c r="AL500" s="905">
        <f>IFERROR(INDEX(G500:R500,1,MATCH(Parametres!$B$3,G$1:R$1,0)-1)*IF(OR(F500="L",F500="S",F500="I"),-1,1),"")</f>
        <v>-51</v>
      </c>
      <c r="AM500" s="905">
        <f t="shared" si="44"/>
        <v>0</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45"/>
        <v>G36004</v>
      </c>
      <c r="AU500" s="488" t="str">
        <f t="shared" si="46"/>
        <v>ACTIONS E</v>
      </c>
      <c r="AV500" s="899">
        <f>IFERROR(INDEX(V500:AG500,1,MATCH(Parametres!$B$3,V$1:AG$1,0)-1)*IF(OR(C500="L",C500="S",C500="I"),-1,1),"")</f>
        <v>0</v>
      </c>
      <c r="AW500" s="899">
        <f t="shared" si="47"/>
        <v>0</v>
      </c>
      <c r="AX500" s="899">
        <f>INDEX(V500:AG500,1,MATCH(Parametres!$B$3,V$1:AG$1,0))*IF(OR(C500="L",C500="S",C500="I"),-1,1)</f>
        <v>0</v>
      </c>
      <c r="AY500" s="487" t="s">
        <v>337</v>
      </c>
      <c r="AZ500" s="487">
        <f>+VLOOKUP($AJ500,Data_Validation!$A:$E,5,0)</f>
        <v>0</v>
      </c>
    </row>
    <row r="501" spans="1:52" ht="15" hidden="1" customHeight="1">
      <c r="A501" s="706" t="s">
        <v>1148</v>
      </c>
      <c r="B501" s="706">
        <v>2025</v>
      </c>
      <c r="C501" s="706" t="s">
        <v>2218</v>
      </c>
      <c r="D501" s="706" t="s">
        <v>2219</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G36005</v>
      </c>
      <c r="AK501" s="905" t="str">
        <f t="shared" si="49"/>
        <v>VALEUR RACHETABLE ACT E</v>
      </c>
      <c r="AL501" s="905">
        <f>IFERROR(INDEX(G501:R501,1,MATCH(Parametres!$B$3,G$1:R$1,0)-1)*IF(OR(F501="L",F501="S",F501="I"),-1,1),"")</f>
        <v>0</v>
      </c>
      <c r="AM501" s="905">
        <f t="shared" si="44"/>
        <v>0</v>
      </c>
      <c r="AN501" s="905">
        <f>INDEX(G501:R501,1,MATCH(Parametres!$B$3,G$1:R$1,0))*IF(OR(F501="L",F501="S",F501="I"),-1,1)</f>
        <v>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45"/>
        <v>G36005</v>
      </c>
      <c r="AU501" s="488" t="str">
        <f t="shared" si="46"/>
        <v>VALEUR RACHETABLE ACT E</v>
      </c>
      <c r="AV501" s="899">
        <f>IFERROR(INDEX(V501:AG501,1,MATCH(Parametres!$B$3,V$1:AG$1,0)-1)*IF(OR(C501="L",C501="S",C501="I"),-1,1),"")</f>
        <v>0</v>
      </c>
      <c r="AW501" s="899">
        <f t="shared" si="47"/>
        <v>0</v>
      </c>
      <c r="AX501" s="899">
        <f>INDEX(V501:AG501,1,MATCH(Parametres!$B$3,V$1:AG$1,0))*IF(OR(C501="L",C501="S",C501="I"),-1,1)</f>
        <v>0</v>
      </c>
      <c r="AY501" s="487" t="s">
        <v>337</v>
      </c>
      <c r="AZ501" s="487">
        <f>+VLOOKUP($AJ501,Data_Validation!$A:$E,5,0)</f>
        <v>0</v>
      </c>
    </row>
    <row r="502" spans="1:52" ht="15" hidden="1" customHeight="1">
      <c r="A502" s="706" t="s">
        <v>1148</v>
      </c>
      <c r="B502" s="706">
        <v>2025</v>
      </c>
      <c r="C502" s="706" t="s">
        <v>2220</v>
      </c>
      <c r="D502" s="706" t="s">
        <v>2221</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G36009</v>
      </c>
      <c r="AK502" s="905" t="str">
        <f t="shared" si="49"/>
        <v>AJUST CAPITAL-ACTIONS</v>
      </c>
      <c r="AL502" s="905">
        <f>IFERROR(INDEX(G502:R502,1,MATCH(Parametres!$B$3,G$1:R$1,0)-1)*IF(OR(F502="L",F502="S",F502="I"),-1,1),"")</f>
        <v>0</v>
      </c>
      <c r="AM502" s="905">
        <f t="shared" si="44"/>
        <v>0</v>
      </c>
      <c r="AN502" s="905">
        <f>INDEX(G502:R502,1,MATCH(Parametres!$B$3,G$1:R$1,0))*IF(OR(F502="L",F502="S",F502="I"),-1,1)</f>
        <v>0</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45"/>
        <v>G36009</v>
      </c>
      <c r="AU502" s="488" t="str">
        <f t="shared" si="46"/>
        <v>AJUST CAPITAL-ACTIONS</v>
      </c>
      <c r="AV502" s="899">
        <f>IFERROR(INDEX(V502:AG502,1,MATCH(Parametres!$B$3,V$1:AG$1,0)-1)*IF(OR(C502="L",C502="S",C502="I"),-1,1),"")</f>
        <v>0</v>
      </c>
      <c r="AW502" s="899">
        <f t="shared" si="47"/>
        <v>0</v>
      </c>
      <c r="AX502" s="899">
        <f>INDEX(V502:AG502,1,MATCH(Parametres!$B$3,V$1:AG$1,0))*IF(OR(C502="L",C502="S",C502="I"),-1,1)</f>
        <v>0</v>
      </c>
      <c r="AY502" s="487" t="s">
        <v>337</v>
      </c>
      <c r="AZ502" s="487">
        <f>+VLOOKUP($AJ502,Data_Validation!$A:$E,5,0)</f>
        <v>0</v>
      </c>
    </row>
    <row r="503" spans="1:52" ht="15" hidden="1" customHeight="1">
      <c r="A503" s="706" t="s">
        <v>1148</v>
      </c>
      <c r="B503" s="706">
        <v>2025</v>
      </c>
      <c r="C503" s="706" t="s">
        <v>2222</v>
      </c>
      <c r="D503" s="706" t="s">
        <v>2223</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G37000</v>
      </c>
      <c r="AK503" s="905" t="str">
        <f t="shared" si="49"/>
        <v>BENEFICES NON REPARTIS</v>
      </c>
      <c r="AL503" s="905">
        <f>IFERROR(INDEX(G503:R503,1,MATCH(Parametres!$B$3,G$1:R$1,0)-1)*IF(OR(F503="L",F503="S",F503="I"),-1,1),"")</f>
        <v>-4943894</v>
      </c>
      <c r="AM503" s="905">
        <f t="shared" si="44"/>
        <v>0</v>
      </c>
      <c r="AN503" s="905">
        <f>INDEX(G503:R503,1,MATCH(Parametres!$B$3,G$1:R$1,0))*IF(OR(F503="L",F503="S",F503="I"),-1,1)</f>
        <v>-4943894</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45"/>
        <v>G37000</v>
      </c>
      <c r="AU503" s="488" t="str">
        <f t="shared" si="46"/>
        <v>BENEFICES NON REPARTIS</v>
      </c>
      <c r="AV503" s="899">
        <f>IFERROR(INDEX(V503:AG503,1,MATCH(Parametres!$B$3,V$1:AG$1,0)-1)*IF(OR(C503="L",C503="S",C503="I"),-1,1),"")</f>
        <v>0</v>
      </c>
      <c r="AW503" s="899">
        <f t="shared" si="47"/>
        <v>0</v>
      </c>
      <c r="AX503" s="899">
        <f>INDEX(V503:AG503,1,MATCH(Parametres!$B$3,V$1:AG$1,0))*IF(OR(C503="L",C503="S",C503="I"),-1,1)</f>
        <v>0</v>
      </c>
      <c r="AY503" s="487" t="s">
        <v>337</v>
      </c>
      <c r="AZ503" s="487">
        <f>+VLOOKUP($AJ503,Data_Validation!$A:$E,5,0)</f>
        <v>0</v>
      </c>
    </row>
    <row r="504" spans="1:52" ht="15" hidden="1" customHeight="1">
      <c r="A504" s="706" t="s">
        <v>1148</v>
      </c>
      <c r="B504" s="706">
        <v>2025</v>
      </c>
      <c r="C504" s="706" t="s">
        <v>2224</v>
      </c>
      <c r="D504" s="706" t="s">
        <v>2225</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G37500</v>
      </c>
      <c r="AK504" s="905" t="str">
        <f t="shared" si="49"/>
        <v>DIVIDENDES RECUS</v>
      </c>
      <c r="AL504" s="905">
        <f>IFERROR(INDEX(G504:R504,1,MATCH(Parametres!$B$3,G$1:R$1,0)-1)*IF(OR(F504="L",F504="S",F504="I"),-1,1),"")</f>
        <v>0</v>
      </c>
      <c r="AM504" s="905">
        <f t="shared" si="44"/>
        <v>0</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45"/>
        <v>G37500</v>
      </c>
      <c r="AU504" s="488" t="str">
        <f t="shared" si="46"/>
        <v>DIVIDENDES RECUS</v>
      </c>
      <c r="AV504" s="899">
        <f>IFERROR(INDEX(V504:AG504,1,MATCH(Parametres!$B$3,V$1:AG$1,0)-1)*IF(OR(C504="L",C504="S",C504="I"),-1,1),"")</f>
        <v>0</v>
      </c>
      <c r="AW504" s="899">
        <f t="shared" si="47"/>
        <v>0</v>
      </c>
      <c r="AX504" s="899">
        <f>INDEX(V504:AG504,1,MATCH(Parametres!$B$3,V$1:AG$1,0))*IF(OR(C504="L",C504="S",C504="I"),-1,1)</f>
        <v>0</v>
      </c>
      <c r="AY504" s="487" t="s">
        <v>337</v>
      </c>
      <c r="AZ504" s="487">
        <f>+VLOOKUP($AJ504,Data_Validation!$A:$E,5,0)</f>
        <v>0</v>
      </c>
    </row>
    <row r="505" spans="1:52" ht="15" hidden="1" customHeight="1">
      <c r="A505" s="706" t="s">
        <v>1148</v>
      </c>
      <c r="B505" s="706">
        <v>2025</v>
      </c>
      <c r="C505" s="706" t="s">
        <v>2226</v>
      </c>
      <c r="D505" s="706" t="s">
        <v>2227</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G38000</v>
      </c>
      <c r="AK505" s="905" t="str">
        <f t="shared" si="49"/>
        <v>PLACEMENTS</v>
      </c>
      <c r="AL505" s="905">
        <f>IFERROR(INDEX(G505:R505,1,MATCH(Parametres!$B$3,G$1:R$1,0)-1)*IF(OR(F505="L",F505="S",F505="I"),-1,1),"")</f>
        <v>0</v>
      </c>
      <c r="AM505" s="905">
        <f t="shared" si="44"/>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45"/>
        <v>G38000</v>
      </c>
      <c r="AU505" s="488" t="str">
        <f t="shared" si="46"/>
        <v>PLACEMENTS</v>
      </c>
      <c r="AV505" s="899">
        <f>IFERROR(INDEX(V505:AG505,1,MATCH(Parametres!$B$3,V$1:AG$1,0)-1)*IF(OR(C505="L",C505="S",C505="I"),-1,1),"")</f>
        <v>0</v>
      </c>
      <c r="AW505" s="899">
        <f t="shared" si="47"/>
        <v>0</v>
      </c>
      <c r="AX505" s="899">
        <f>INDEX(V505:AG505,1,MATCH(Parametres!$B$3,V$1:AG$1,0))*IF(OR(C505="L",C505="S",C505="I"),-1,1)</f>
        <v>0</v>
      </c>
      <c r="AY505" s="487" t="s">
        <v>337</v>
      </c>
      <c r="AZ505" s="487" t="e">
        <f>+VLOOKUP($AJ505,Data_Validation!$A:$E,5,0)</f>
        <v>#N/A</v>
      </c>
    </row>
    <row r="506" spans="1:52" ht="15" hidden="1" customHeight="1">
      <c r="A506" s="706" t="s">
        <v>1148</v>
      </c>
      <c r="B506" s="706">
        <v>2025</v>
      </c>
      <c r="C506" s="706" t="s">
        <v>2228</v>
      </c>
      <c r="D506" s="706" t="s">
        <v>2229</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G40000</v>
      </c>
      <c r="AK506" s="905" t="str">
        <f t="shared" si="49"/>
        <v>VENTE VOLT</v>
      </c>
      <c r="AL506" s="905">
        <f>IFERROR(INDEX(G506:R506,1,MATCH(Parametres!$B$3,G$1:R$1,0)-1)*IF(OR(F506="L",F506="S",F506="I"),-1,1),"")</f>
        <v>0</v>
      </c>
      <c r="AM506" s="905">
        <f t="shared" si="44"/>
        <v>0</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45"/>
        <v>G40000</v>
      </c>
      <c r="AU506" s="488" t="str">
        <f t="shared" si="46"/>
        <v>VENTE VOLT</v>
      </c>
      <c r="AV506" s="899">
        <f>IFERROR(INDEX(V506:AG506,1,MATCH(Parametres!$B$3,V$1:AG$1,0)-1)*IF(OR(C506="L",C506="S",C506="I"),-1,1),"")</f>
        <v>0</v>
      </c>
      <c r="AW506" s="899">
        <f t="shared" si="47"/>
        <v>0</v>
      </c>
      <c r="AX506" s="899">
        <f>INDEX(V506:AG506,1,MATCH(Parametres!$B$3,V$1:AG$1,0))*IF(OR(C506="L",C506="S",C506="I"),-1,1)</f>
        <v>0</v>
      </c>
      <c r="AY506" s="487" t="s">
        <v>337</v>
      </c>
      <c r="AZ506" s="487" t="str">
        <f>+VLOOKUP($AJ506,Data_Validation!$A:$E,5,0)</f>
        <v>Oui</v>
      </c>
    </row>
    <row r="507" spans="1:52" ht="15" hidden="1" customHeight="1">
      <c r="A507" s="706" t="s">
        <v>1148</v>
      </c>
      <c r="B507" s="706">
        <v>2025</v>
      </c>
      <c r="C507" s="706" t="s">
        <v>2230</v>
      </c>
      <c r="D507" s="706" t="s">
        <v>2231</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G40004</v>
      </c>
      <c r="AK507" s="905" t="str">
        <f t="shared" si="49"/>
        <v>VENTE BUICK REGAL</v>
      </c>
      <c r="AL507" s="905">
        <f>IFERROR(INDEX(G507:R507,1,MATCH(Parametres!$B$3,G$1:R$1,0)-1)*IF(OR(F507="L",F507="S",F507="I"),-1,1),"")</f>
        <v>0</v>
      </c>
      <c r="AM507" s="905">
        <f t="shared" si="44"/>
        <v>0</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45"/>
        <v>G40004</v>
      </c>
      <c r="AU507" s="488" t="str">
        <f t="shared" si="46"/>
        <v>VENTE BUICK REGAL</v>
      </c>
      <c r="AV507" s="899">
        <f>IFERROR(INDEX(V507:AG507,1,MATCH(Parametres!$B$3,V$1:AG$1,0)-1)*IF(OR(C507="L",C507="S",C507="I"),-1,1),"")</f>
        <v>0</v>
      </c>
      <c r="AW507" s="899">
        <f t="shared" si="47"/>
        <v>0</v>
      </c>
      <c r="AX507" s="899">
        <f>INDEX(V507:AG507,1,MATCH(Parametres!$B$3,V$1:AG$1,0))*IF(OR(C507="L",C507="S",C507="I"),-1,1)</f>
        <v>0</v>
      </c>
      <c r="AY507" s="487" t="s">
        <v>337</v>
      </c>
      <c r="AZ507" s="487" t="str">
        <f>+VLOOKUP($AJ507,Data_Validation!$A:$E,5,0)</f>
        <v>Oui</v>
      </c>
    </row>
    <row r="508" spans="1:52" ht="15" hidden="1" customHeight="1">
      <c r="A508" s="706" t="s">
        <v>1148</v>
      </c>
      <c r="B508" s="706">
        <v>2025</v>
      </c>
      <c r="C508" s="706" t="s">
        <v>2232</v>
      </c>
      <c r="D508" s="706" t="s">
        <v>2233</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905" t="str">
        <f t="shared" si="48"/>
        <v>G40100</v>
      </c>
      <c r="AK508" s="905" t="str">
        <f t="shared" si="49"/>
        <v>VTES-MALIBU</v>
      </c>
      <c r="AL508" s="905">
        <f>IFERROR(INDEX(G508:R508,1,MATCH(Parametres!$B$3,G$1:R$1,0)-1)*IF(OR(F508="L",F508="S",F508="I"),-1,1),"")</f>
        <v>-29694</v>
      </c>
      <c r="AM508" s="905">
        <f t="shared" si="44"/>
        <v>0</v>
      </c>
      <c r="AN508" s="905">
        <f>INDEX(G508:R508,1,MATCH(Parametres!$B$3,G$1:R$1,0))*IF(OR(F508="L",F508="S",F508="I"),-1,1)</f>
        <v>-29694</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45"/>
        <v>G40100</v>
      </c>
      <c r="AU508" s="488" t="str">
        <f t="shared" si="46"/>
        <v>VTES-MALIBU</v>
      </c>
      <c r="AV508" s="899">
        <f>IFERROR(INDEX(V508:AG508,1,MATCH(Parametres!$B$3,V$1:AG$1,0)-1)*IF(OR(C508="L",C508="S",C508="I"),-1,1),"")</f>
        <v>1</v>
      </c>
      <c r="AW508" s="899">
        <f t="shared" si="47"/>
        <v>0</v>
      </c>
      <c r="AX508" s="899">
        <f>INDEX(V508:AG508,1,MATCH(Parametres!$B$3,V$1:AG$1,0))*IF(OR(C508="L",C508="S",C508="I"),-1,1)</f>
        <v>1</v>
      </c>
      <c r="AY508" s="487" t="s">
        <v>337</v>
      </c>
      <c r="AZ508" s="487" t="str">
        <f>+VLOOKUP($AJ508,Data_Validation!$A:$E,5,0)</f>
        <v>Oui</v>
      </c>
    </row>
    <row r="509" spans="1:52" ht="15" hidden="1" customHeight="1">
      <c r="A509" s="706" t="s">
        <v>1148</v>
      </c>
      <c r="B509" s="706">
        <v>2025</v>
      </c>
      <c r="C509" s="706" t="s">
        <v>2234</v>
      </c>
      <c r="D509" s="706" t="s">
        <v>2235</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G40101</v>
      </c>
      <c r="AK509" s="905" t="str">
        <f t="shared" si="49"/>
        <v>VENTE BUICK LACROSSE</v>
      </c>
      <c r="AL509" s="905">
        <f>IFERROR(INDEX(G509:R509,1,MATCH(Parametres!$B$3,G$1:R$1,0)-1)*IF(OR(F509="L",F509="S",F509="I"),-1,1),"")</f>
        <v>0</v>
      </c>
      <c r="AM509" s="905">
        <f t="shared" si="44"/>
        <v>0</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45"/>
        <v>G40101</v>
      </c>
      <c r="AU509" s="488" t="str">
        <f t="shared" si="46"/>
        <v>VENTE BUICK LACROSSE</v>
      </c>
      <c r="AV509" s="899">
        <f>IFERROR(INDEX(V509:AG509,1,MATCH(Parametres!$B$3,V$1:AG$1,0)-1)*IF(OR(C509="L",C509="S",C509="I"),-1,1),"")</f>
        <v>0</v>
      </c>
      <c r="AW509" s="899">
        <f t="shared" si="47"/>
        <v>0</v>
      </c>
      <c r="AX509" s="899">
        <f>INDEX(V509:AG509,1,MATCH(Parametres!$B$3,V$1:AG$1,0))*IF(OR(C509="L",C509="S",C509="I"),-1,1)</f>
        <v>0</v>
      </c>
      <c r="AY509" s="487" t="s">
        <v>337</v>
      </c>
      <c r="AZ509" s="487" t="str">
        <f>+VLOOKUP($AJ509,Data_Validation!$A:$E,5,0)</f>
        <v>Oui</v>
      </c>
    </row>
    <row r="510" spans="1:52" ht="15" customHeight="1">
      <c r="A510" s="706" t="s">
        <v>1148</v>
      </c>
      <c r="B510" s="706">
        <v>2025</v>
      </c>
      <c r="C510" s="706" t="s">
        <v>2236</v>
      </c>
      <c r="D510" s="706" t="s">
        <v>2237</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G40120</v>
      </c>
      <c r="AK510" s="905" t="str">
        <f t="shared" si="49"/>
        <v>VTES-MALIBU          -LOC</v>
      </c>
      <c r="AL510" s="905">
        <f>IFERROR(INDEX(G510:R510,1,MATCH(Parametres!$B$3,G$1:R$1,0)-1)*IF(OR(F510="L",F510="S",F510="I"),-1,1),"")</f>
        <v>0</v>
      </c>
      <c r="AM510" s="905">
        <f t="shared" si="44"/>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45"/>
        <v>G40120</v>
      </c>
      <c r="AU510" s="488" t="str">
        <f t="shared" si="46"/>
        <v>VTES-MALIBU          -LOC</v>
      </c>
      <c r="AV510" s="899">
        <f>IFERROR(INDEX(V510:AG510,1,MATCH(Parametres!$B$3,V$1:AG$1,0)-1)*IF(OR(C510="L",C510="S",C510="I"),-1,1),"")</f>
        <v>0</v>
      </c>
      <c r="AW510" s="899">
        <f t="shared" si="47"/>
        <v>0</v>
      </c>
      <c r="AX510" s="899">
        <f>INDEX(V510:AG510,1,MATCH(Parametres!$B$3,V$1:AG$1,0))*IF(OR(C510="L",C510="S",C510="I"),-1,1)</f>
        <v>0</v>
      </c>
      <c r="AY510" s="487" t="s">
        <v>337</v>
      </c>
      <c r="AZ510" s="487" t="e">
        <f>+VLOOKUP($AJ510,Data_Validation!$A:$E,5,0)</f>
        <v>#N/A</v>
      </c>
    </row>
    <row r="511" spans="1:52" ht="15" customHeight="1">
      <c r="A511" s="706" t="s">
        <v>1148</v>
      </c>
      <c r="B511" s="706">
        <v>2025</v>
      </c>
      <c r="C511" s="706" t="s">
        <v>2238</v>
      </c>
      <c r="D511" s="706" t="s">
        <v>2239</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G40200</v>
      </c>
      <c r="AK511" s="905" t="str">
        <f t="shared" si="49"/>
        <v>VTES-MALIBU MAXX</v>
      </c>
      <c r="AL511" s="905">
        <f>IFERROR(INDEX(G511:R511,1,MATCH(Parametres!$B$3,G$1:R$1,0)-1)*IF(OR(F511="L",F511="S",F511="I"),-1,1),"")</f>
        <v>0</v>
      </c>
      <c r="AM511" s="905">
        <f t="shared" si="44"/>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45"/>
        <v>G40200</v>
      </c>
      <c r="AU511" s="488" t="str">
        <f t="shared" si="46"/>
        <v>VTES-MALIBU MAXX</v>
      </c>
      <c r="AV511" s="899">
        <f>IFERROR(INDEX(V511:AG511,1,MATCH(Parametres!$B$3,V$1:AG$1,0)-1)*IF(OR(C511="L",C511="S",C511="I"),-1,1),"")</f>
        <v>0</v>
      </c>
      <c r="AW511" s="899">
        <f t="shared" si="47"/>
        <v>0</v>
      </c>
      <c r="AX511" s="899">
        <f>INDEX(V511:AG511,1,MATCH(Parametres!$B$3,V$1:AG$1,0))*IF(OR(C511="L",C511="S",C511="I"),-1,1)</f>
        <v>0</v>
      </c>
      <c r="AY511" s="487" t="s">
        <v>337</v>
      </c>
      <c r="AZ511" s="487" t="e">
        <f>+VLOOKUP($AJ511,Data_Validation!$A:$E,5,0)</f>
        <v>#N/A</v>
      </c>
    </row>
    <row r="512" spans="1:52" ht="15" customHeight="1">
      <c r="A512" s="706" t="s">
        <v>1148</v>
      </c>
      <c r="B512" s="706">
        <v>2025</v>
      </c>
      <c r="C512" s="706" t="s">
        <v>2240</v>
      </c>
      <c r="D512" s="706" t="s">
        <v>2241</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G40201</v>
      </c>
      <c r="AK512" s="905" t="str">
        <f t="shared" si="49"/>
        <v>VENTES - SONIC</v>
      </c>
      <c r="AL512" s="905">
        <f>IFERROR(INDEX(G512:R512,1,MATCH(Parametres!$B$3,G$1:R$1,0)-1)*IF(OR(F512="L",F512="S",F512="I"),-1,1),"")</f>
        <v>0</v>
      </c>
      <c r="AM512" s="905">
        <f t="shared" si="44"/>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45"/>
        <v>G40201</v>
      </c>
      <c r="AU512" s="488" t="str">
        <f t="shared" si="46"/>
        <v>VENTES - SONIC</v>
      </c>
      <c r="AV512" s="899">
        <f>IFERROR(INDEX(V512:AG512,1,MATCH(Parametres!$B$3,V$1:AG$1,0)-1)*IF(OR(C512="L",C512="S",C512="I"),-1,1),"")</f>
        <v>0</v>
      </c>
      <c r="AW512" s="899">
        <f t="shared" si="47"/>
        <v>0</v>
      </c>
      <c r="AX512" s="899">
        <f>INDEX(V512:AG512,1,MATCH(Parametres!$B$3,V$1:AG$1,0))*IF(OR(C512="L",C512="S",C512="I"),-1,1)</f>
        <v>0</v>
      </c>
      <c r="AY512" s="487" t="s">
        <v>337</v>
      </c>
      <c r="AZ512" s="487" t="e">
        <f>+VLOOKUP($AJ512,Data_Validation!$A:$E,5,0)</f>
        <v>#N/A</v>
      </c>
    </row>
    <row r="513" spans="1:52" ht="15" hidden="1" customHeight="1">
      <c r="A513" s="706" t="s">
        <v>1148</v>
      </c>
      <c r="B513" s="706">
        <v>2025</v>
      </c>
      <c r="C513" s="706" t="s">
        <v>2242</v>
      </c>
      <c r="D513" s="706" t="s">
        <v>2243</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G40204</v>
      </c>
      <c r="AK513" s="905" t="str">
        <f t="shared" si="49"/>
        <v>VENTES - VERANO</v>
      </c>
      <c r="AL513" s="905">
        <f>IFERROR(INDEX(G513:R513,1,MATCH(Parametres!$B$3,G$1:R$1,0)-1)*IF(OR(F513="L",F513="S",F513="I"),-1,1),"")</f>
        <v>0</v>
      </c>
      <c r="AM513" s="905">
        <f t="shared" si="44"/>
        <v>0</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45"/>
        <v>G40204</v>
      </c>
      <c r="AU513" s="488" t="str">
        <f t="shared" si="46"/>
        <v>VENTES - VERANO</v>
      </c>
      <c r="AV513" s="899">
        <f>IFERROR(INDEX(V513:AG513,1,MATCH(Parametres!$B$3,V$1:AG$1,0)-1)*IF(OR(C513="L",C513="S",C513="I"),-1,1),"")</f>
        <v>0</v>
      </c>
      <c r="AW513" s="899">
        <f t="shared" si="47"/>
        <v>0</v>
      </c>
      <c r="AX513" s="899">
        <f>INDEX(V513:AG513,1,MATCH(Parametres!$B$3,V$1:AG$1,0))*IF(OR(C513="L",C513="S",C513="I"),-1,1)</f>
        <v>0</v>
      </c>
      <c r="AY513" s="487" t="s">
        <v>337</v>
      </c>
      <c r="AZ513" s="487" t="str">
        <f>+VLOOKUP($AJ513,Data_Validation!$A:$E,5,0)</f>
        <v>Oui</v>
      </c>
    </row>
    <row r="514" spans="1:52" ht="15" hidden="1" customHeight="1">
      <c r="A514" s="706" t="s">
        <v>1148</v>
      </c>
      <c r="B514" s="706">
        <v>2025</v>
      </c>
      <c r="C514" s="706" t="s">
        <v>2244</v>
      </c>
      <c r="D514" s="706" t="s">
        <v>2245</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G40300</v>
      </c>
      <c r="AK514" s="905" t="str">
        <f t="shared" si="49"/>
        <v>VTES-IMPALA</v>
      </c>
      <c r="AL514" s="905">
        <f>IFERROR(INDEX(G514:R514,1,MATCH(Parametres!$B$3,G$1:R$1,0)-1)*IF(OR(F514="L",F514="S",F514="I"),-1,1),"")</f>
        <v>0</v>
      </c>
      <c r="AM514" s="905">
        <f t="shared" si="44"/>
        <v>0</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45"/>
        <v>G40300</v>
      </c>
      <c r="AU514" s="488" t="str">
        <f t="shared" si="46"/>
        <v>VTES-IMPALA</v>
      </c>
      <c r="AV514" s="899">
        <f>IFERROR(INDEX(V514:AG514,1,MATCH(Parametres!$B$3,V$1:AG$1,0)-1)*IF(OR(C514="L",C514="S",C514="I"),-1,1),"")</f>
        <v>0</v>
      </c>
      <c r="AW514" s="899">
        <f t="shared" si="47"/>
        <v>0</v>
      </c>
      <c r="AX514" s="899">
        <f>INDEX(V514:AG514,1,MATCH(Parametres!$B$3,V$1:AG$1,0))*IF(OR(C514="L",C514="S",C514="I"),-1,1)</f>
        <v>0</v>
      </c>
      <c r="AY514" s="487" t="s">
        <v>337</v>
      </c>
      <c r="AZ514" s="487" t="str">
        <f>+VLOOKUP($AJ514,Data_Validation!$A:$E,5,0)</f>
        <v>Oui</v>
      </c>
    </row>
    <row r="515" spans="1:52" ht="15" customHeight="1">
      <c r="A515" s="706" t="s">
        <v>1148</v>
      </c>
      <c r="B515" s="706">
        <v>2025</v>
      </c>
      <c r="C515" s="706" t="s">
        <v>2246</v>
      </c>
      <c r="D515" s="706" t="s">
        <v>2247</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G40320</v>
      </c>
      <c r="AK515" s="905" t="str">
        <f t="shared" si="49"/>
        <v>VTES-IMPALA          -LOC</v>
      </c>
      <c r="AL515" s="905">
        <f>IFERROR(INDEX(G515:R515,1,MATCH(Parametres!$B$3,G$1:R$1,0)-1)*IF(OR(F515="L",F515="S",F515="I"),-1,1),"")</f>
        <v>0</v>
      </c>
      <c r="AM515" s="905">
        <f t="shared" si="44"/>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45"/>
        <v>G40320</v>
      </c>
      <c r="AU515" s="488" t="str">
        <f t="shared" si="46"/>
        <v>VTES-IMPALA          -LOC</v>
      </c>
      <c r="AV515" s="899">
        <f>IFERROR(INDEX(V515:AG515,1,MATCH(Parametres!$B$3,V$1:AG$1,0)-1)*IF(OR(C515="L",C515="S",C515="I"),-1,1),"")</f>
        <v>0</v>
      </c>
      <c r="AW515" s="899">
        <f t="shared" si="47"/>
        <v>0</v>
      </c>
      <c r="AX515" s="899">
        <f>INDEX(V515:AG515,1,MATCH(Parametres!$B$3,V$1:AG$1,0))*IF(OR(C515="L",C515="S",C515="I"),-1,1)</f>
        <v>0</v>
      </c>
      <c r="AY515" s="487" t="s">
        <v>337</v>
      </c>
      <c r="AZ515" s="487" t="e">
        <f>+VLOOKUP($AJ515,Data_Validation!$A:$E,5,0)</f>
        <v>#N/A</v>
      </c>
    </row>
    <row r="516" spans="1:52" ht="15" hidden="1" customHeight="1">
      <c r="A516" s="706" t="s">
        <v>1148</v>
      </c>
      <c r="B516" s="706">
        <v>2025</v>
      </c>
      <c r="C516" s="706" t="s">
        <v>2248</v>
      </c>
      <c r="D516" s="706" t="s">
        <v>2249</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G40400</v>
      </c>
      <c r="AK516" s="905" t="str">
        <f t="shared" si="49"/>
        <v>VENTES / SPARK</v>
      </c>
      <c r="AL516" s="905">
        <f>IFERROR(INDEX(G516:R516,1,MATCH(Parametres!$B$3,G$1:R$1,0)-1)*IF(OR(F516="L",F516="S",F516="I"),-1,1),"")</f>
        <v>0</v>
      </c>
      <c r="AM516" s="905">
        <f t="shared" ref="AM516:AM579" si="50">AN516-AL516</f>
        <v>0</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T579" si="51">C516</f>
        <v>G40400</v>
      </c>
      <c r="AU516" s="488" t="str">
        <f t="shared" ref="AU516:AU579" si="52">D516</f>
        <v>VENTES / SPARK</v>
      </c>
      <c r="AV516" s="899">
        <f>IFERROR(INDEX(V516:AG516,1,MATCH(Parametres!$B$3,V$1:AG$1,0)-1)*IF(OR(C516="L",C516="S",C516="I"),-1,1),"")</f>
        <v>0</v>
      </c>
      <c r="AW516" s="899">
        <f t="shared" ref="AW516:AW579" si="53">AX516-AV516</f>
        <v>0</v>
      </c>
      <c r="AX516" s="899">
        <f>INDEX(V516:AG516,1,MATCH(Parametres!$B$3,V$1:AG$1,0))*IF(OR(C516="L",C516="S",C516="I"),-1,1)</f>
        <v>0</v>
      </c>
      <c r="AY516" s="487" t="s">
        <v>337</v>
      </c>
      <c r="AZ516" s="487" t="str">
        <f>+VLOOKUP($AJ516,Data_Validation!$A:$E,5,0)</f>
        <v>Oui</v>
      </c>
    </row>
    <row r="517" spans="1:52" ht="15" hidden="1" customHeight="1">
      <c r="A517" s="706" t="s">
        <v>1148</v>
      </c>
      <c r="B517" s="706">
        <v>2025</v>
      </c>
      <c r="C517" s="706" t="s">
        <v>2250</v>
      </c>
      <c r="D517" s="706" t="s">
        <v>2251</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905" t="str">
        <f t="shared" si="48"/>
        <v>G40500</v>
      </c>
      <c r="AK517" s="905" t="str">
        <f t="shared" si="49"/>
        <v>VTES-CORVETTE</v>
      </c>
      <c r="AL517" s="905">
        <f>IFERROR(INDEX(G517:R517,1,MATCH(Parametres!$B$3,G$1:R$1,0)-1)*IF(OR(F517="L",F517="S",F517="I"),-1,1),"")</f>
        <v>-658465</v>
      </c>
      <c r="AM517" s="905">
        <f t="shared" si="50"/>
        <v>-284621</v>
      </c>
      <c r="AN517" s="905">
        <f>INDEX(G517:R517,1,MATCH(Parametres!$B$3,G$1:R$1,0))*IF(OR(F517="L",F517="S",F517="I"),-1,1)</f>
        <v>-943086</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51"/>
        <v>G40500</v>
      </c>
      <c r="AU517" s="488" t="str">
        <f t="shared" si="52"/>
        <v>VTES-CORVETTE</v>
      </c>
      <c r="AV517" s="899">
        <f>IFERROR(INDEX(V517:AG517,1,MATCH(Parametres!$B$3,V$1:AG$1,0)-1)*IF(OR(C517="L",C517="S",C517="I"),-1,1),"")</f>
        <v>6</v>
      </c>
      <c r="AW517" s="899">
        <f t="shared" si="53"/>
        <v>2</v>
      </c>
      <c r="AX517" s="899">
        <f>INDEX(V517:AG517,1,MATCH(Parametres!$B$3,V$1:AG$1,0))*IF(OR(C517="L",C517="S",C517="I"),-1,1)</f>
        <v>8</v>
      </c>
      <c r="AY517" s="487" t="s">
        <v>337</v>
      </c>
      <c r="AZ517" s="487" t="str">
        <f>+VLOOKUP($AJ517,Data_Validation!$A:$E,5,0)</f>
        <v>Oui</v>
      </c>
    </row>
    <row r="518" spans="1:52" ht="15" customHeight="1">
      <c r="A518" s="706" t="s">
        <v>1148</v>
      </c>
      <c r="B518" s="706">
        <v>2025</v>
      </c>
      <c r="C518" s="706" t="s">
        <v>2252</v>
      </c>
      <c r="D518" s="706" t="s">
        <v>2253</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G40600</v>
      </c>
      <c r="AK518" s="905" t="str">
        <f t="shared" si="49"/>
        <v>VTES-AVEO</v>
      </c>
      <c r="AL518" s="905">
        <f>IFERROR(INDEX(G518:R518,1,MATCH(Parametres!$B$3,G$1:R$1,0)-1)*IF(OR(F518="L",F518="S",F518="I"),-1,1),"")</f>
        <v>0</v>
      </c>
      <c r="AM518" s="905">
        <f t="shared" si="50"/>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51"/>
        <v>G40600</v>
      </c>
      <c r="AU518" s="488" t="str">
        <f t="shared" si="52"/>
        <v>VTES-AVEO</v>
      </c>
      <c r="AV518" s="899">
        <f>IFERROR(INDEX(V518:AG518,1,MATCH(Parametres!$B$3,V$1:AG$1,0)-1)*IF(OR(C518="L",C518="S",C518="I"),-1,1),"")</f>
        <v>0</v>
      </c>
      <c r="AW518" s="899">
        <f t="shared" si="53"/>
        <v>0</v>
      </c>
      <c r="AX518" s="899">
        <f>INDEX(V518:AG518,1,MATCH(Parametres!$B$3,V$1:AG$1,0))*IF(OR(C518="L",C518="S",C518="I"),-1,1)</f>
        <v>0</v>
      </c>
      <c r="AY518" s="487" t="s">
        <v>337</v>
      </c>
      <c r="AZ518" s="487" t="e">
        <f>+VLOOKUP($AJ518,Data_Validation!$A:$E,5,0)</f>
        <v>#N/A</v>
      </c>
    </row>
    <row r="519" spans="1:52" ht="15" customHeight="1">
      <c r="A519" s="706" t="s">
        <v>1148</v>
      </c>
      <c r="B519" s="706">
        <v>2025</v>
      </c>
      <c r="C519" s="706" t="s">
        <v>2254</v>
      </c>
      <c r="D519" s="706" t="s">
        <v>2255</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G40620</v>
      </c>
      <c r="AK519" s="905" t="str">
        <f t="shared" si="49"/>
        <v>VTES-AVEO            -LOC</v>
      </c>
      <c r="AL519" s="905">
        <f>IFERROR(INDEX(G519:R519,1,MATCH(Parametres!$B$3,G$1:R$1,0)-1)*IF(OR(F519="L",F519="S",F519="I"),-1,1),"")</f>
        <v>0</v>
      </c>
      <c r="AM519" s="905">
        <f t="shared" si="50"/>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51"/>
        <v>G40620</v>
      </c>
      <c r="AU519" s="488" t="str">
        <f t="shared" si="52"/>
        <v>VTES-AVEO            -LOC</v>
      </c>
      <c r="AV519" s="899">
        <f>IFERROR(INDEX(V519:AG519,1,MATCH(Parametres!$B$3,V$1:AG$1,0)-1)*IF(OR(C519="L",C519="S",C519="I"),-1,1),"")</f>
        <v>0</v>
      </c>
      <c r="AW519" s="899">
        <f t="shared" si="53"/>
        <v>0</v>
      </c>
      <c r="AX519" s="899">
        <f>INDEX(V519:AG519,1,MATCH(Parametres!$B$3,V$1:AG$1,0))*IF(OR(C519="L",C519="S",C519="I"),-1,1)</f>
        <v>0</v>
      </c>
      <c r="AY519" s="487" t="s">
        <v>337</v>
      </c>
      <c r="AZ519" s="487" t="e">
        <f>+VLOOKUP($AJ519,Data_Validation!$A:$E,5,0)</f>
        <v>#N/A</v>
      </c>
    </row>
    <row r="520" spans="1:52" ht="15" hidden="1" customHeight="1">
      <c r="A520" s="706" t="s">
        <v>1148</v>
      </c>
      <c r="B520" s="706">
        <v>2025</v>
      </c>
      <c r="C520" s="706" t="s">
        <v>2256</v>
      </c>
      <c r="D520" s="706" t="s">
        <v>2257</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G40700</v>
      </c>
      <c r="AK520" s="905" t="str">
        <f t="shared" si="49"/>
        <v>VENTES BOLT - EV</v>
      </c>
      <c r="AL520" s="905">
        <f>IFERROR(INDEX(G520:R520,1,MATCH(Parametres!$B$3,G$1:R$1,0)-1)*IF(OR(F520="L",F520="S",F520="I"),-1,1),"")</f>
        <v>0</v>
      </c>
      <c r="AM520" s="905">
        <f t="shared" si="50"/>
        <v>0</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51"/>
        <v>G40700</v>
      </c>
      <c r="AU520" s="488" t="str">
        <f t="shared" si="52"/>
        <v>VENTES BOLT - EV</v>
      </c>
      <c r="AV520" s="899">
        <f>IFERROR(INDEX(V520:AG520,1,MATCH(Parametres!$B$3,V$1:AG$1,0)-1)*IF(OR(C520="L",C520="S",C520="I"),-1,1),"")</f>
        <v>0</v>
      </c>
      <c r="AW520" s="899">
        <f t="shared" si="53"/>
        <v>0</v>
      </c>
      <c r="AX520" s="899">
        <f>INDEX(V520:AG520,1,MATCH(Parametres!$B$3,V$1:AG$1,0))*IF(OR(C520="L",C520="S",C520="I"),-1,1)</f>
        <v>0</v>
      </c>
      <c r="AY520" s="487" t="s">
        <v>337</v>
      </c>
      <c r="AZ520" s="487" t="str">
        <f>+VLOOKUP($AJ520,Data_Validation!$A:$E,5,0)</f>
        <v>Oui</v>
      </c>
    </row>
    <row r="521" spans="1:52" ht="15" customHeight="1">
      <c r="A521" s="706" t="s">
        <v>1148</v>
      </c>
      <c r="B521" s="706">
        <v>2025</v>
      </c>
      <c r="C521" s="706" t="s">
        <v>2258</v>
      </c>
      <c r="D521" s="706" t="s">
        <v>2259</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G40720</v>
      </c>
      <c r="AK521" s="905" t="str">
        <f t="shared" si="49"/>
        <v>VTES-OPTRA           -LOC</v>
      </c>
      <c r="AL521" s="905">
        <f>IFERROR(INDEX(G521:R521,1,MATCH(Parametres!$B$3,G$1:R$1,0)-1)*IF(OR(F521="L",F521="S",F521="I"),-1,1),"")</f>
        <v>0</v>
      </c>
      <c r="AM521" s="905">
        <f t="shared" si="50"/>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51"/>
        <v>G40720</v>
      </c>
      <c r="AU521" s="488" t="str">
        <f t="shared" si="52"/>
        <v>VTES-OPTRA           -LOC</v>
      </c>
      <c r="AV521" s="899">
        <f>IFERROR(INDEX(V521:AG521,1,MATCH(Parametres!$B$3,V$1:AG$1,0)-1)*IF(OR(C521="L",C521="S",C521="I"),-1,1),"")</f>
        <v>0</v>
      </c>
      <c r="AW521" s="899">
        <f t="shared" si="53"/>
        <v>0</v>
      </c>
      <c r="AX521" s="899">
        <f>INDEX(V521:AG521,1,MATCH(Parametres!$B$3,V$1:AG$1,0))*IF(OR(C521="L",C521="S",C521="I"),-1,1)</f>
        <v>0</v>
      </c>
      <c r="AY521" s="487" t="s">
        <v>337</v>
      </c>
      <c r="AZ521" s="487" t="e">
        <f>+VLOOKUP($AJ521,Data_Validation!$A:$E,5,0)</f>
        <v>#N/A</v>
      </c>
    </row>
    <row r="522" spans="1:52" ht="15" customHeight="1">
      <c r="A522" s="706" t="s">
        <v>1148</v>
      </c>
      <c r="B522" s="706">
        <v>2025</v>
      </c>
      <c r="C522" s="706" t="s">
        <v>2260</v>
      </c>
      <c r="D522" s="706" t="s">
        <v>2261</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G40800</v>
      </c>
      <c r="AK522" s="905" t="str">
        <f t="shared" si="49"/>
        <v>VTES-EPICA</v>
      </c>
      <c r="AL522" s="905">
        <f>IFERROR(INDEX(G522:R522,1,MATCH(Parametres!$B$3,G$1:R$1,0)-1)*IF(OR(F522="L",F522="S",F522="I"),-1,1),"")</f>
        <v>0</v>
      </c>
      <c r="AM522" s="905">
        <f t="shared" si="50"/>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51"/>
        <v>G40800</v>
      </c>
      <c r="AU522" s="488" t="str">
        <f t="shared" si="52"/>
        <v>VTES-EPICA</v>
      </c>
      <c r="AV522" s="899">
        <f>IFERROR(INDEX(V522:AG522,1,MATCH(Parametres!$B$3,V$1:AG$1,0)-1)*IF(OR(C522="L",C522="S",C522="I"),-1,1),"")</f>
        <v>0</v>
      </c>
      <c r="AW522" s="899">
        <f t="shared" si="53"/>
        <v>0</v>
      </c>
      <c r="AX522" s="899">
        <f>INDEX(V522:AG522,1,MATCH(Parametres!$B$3,V$1:AG$1,0))*IF(OR(C522="L",C522="S",C522="I"),-1,1)</f>
        <v>0</v>
      </c>
      <c r="AY522" s="487" t="s">
        <v>337</v>
      </c>
      <c r="AZ522" s="487" t="e">
        <f>+VLOOKUP($AJ522,Data_Validation!$A:$E,5,0)</f>
        <v>#N/A</v>
      </c>
    </row>
    <row r="523" spans="1:52" ht="15" customHeight="1">
      <c r="A523" s="706" t="s">
        <v>1148</v>
      </c>
      <c r="B523" s="706">
        <v>2025</v>
      </c>
      <c r="C523" s="706" t="s">
        <v>2262</v>
      </c>
      <c r="D523" s="706" t="s">
        <v>2263</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G40820</v>
      </c>
      <c r="AK523" s="905" t="str">
        <f t="shared" si="49"/>
        <v>VTES-EPICA           -LOC</v>
      </c>
      <c r="AL523" s="905">
        <f>IFERROR(INDEX(G523:R523,1,MATCH(Parametres!$B$3,G$1:R$1,0)-1)*IF(OR(F523="L",F523="S",F523="I"),-1,1),"")</f>
        <v>0</v>
      </c>
      <c r="AM523" s="905">
        <f t="shared" si="50"/>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51"/>
        <v>G40820</v>
      </c>
      <c r="AU523" s="488" t="str">
        <f t="shared" si="52"/>
        <v>VTES-EPICA           -LOC</v>
      </c>
      <c r="AV523" s="899">
        <f>IFERROR(INDEX(V523:AG523,1,MATCH(Parametres!$B$3,V$1:AG$1,0)-1)*IF(OR(C523="L",C523="S",C523="I"),-1,1),"")</f>
        <v>0</v>
      </c>
      <c r="AW523" s="899">
        <f t="shared" si="53"/>
        <v>0</v>
      </c>
      <c r="AX523" s="899">
        <f>INDEX(V523:AG523,1,MATCH(Parametres!$B$3,V$1:AG$1,0))*IF(OR(C523="L",C523="S",C523="I"),-1,1)</f>
        <v>0</v>
      </c>
      <c r="AY523" s="487" t="s">
        <v>337</v>
      </c>
      <c r="AZ523" s="487" t="e">
        <f>+VLOOKUP($AJ523,Data_Validation!$A:$E,5,0)</f>
        <v>#N/A</v>
      </c>
    </row>
    <row r="524" spans="1:52" ht="15" hidden="1" customHeight="1">
      <c r="A524" s="706" t="s">
        <v>1148</v>
      </c>
      <c r="B524" s="706">
        <v>2025</v>
      </c>
      <c r="C524" s="706" t="s">
        <v>2264</v>
      </c>
      <c r="D524" s="706" t="s">
        <v>2265</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G40900</v>
      </c>
      <c r="AK524" s="905" t="str">
        <f t="shared" si="49"/>
        <v>VTES-COBALT</v>
      </c>
      <c r="AL524" s="905">
        <f>IFERROR(INDEX(G524:R524,1,MATCH(Parametres!$B$3,G$1:R$1,0)-1)*IF(OR(F524="L",F524="S",F524="I"),-1,1),"")</f>
        <v>0</v>
      </c>
      <c r="AM524" s="905">
        <f t="shared" si="50"/>
        <v>0</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51"/>
        <v>G40900</v>
      </c>
      <c r="AU524" s="488" t="str">
        <f t="shared" si="52"/>
        <v>VTES-COBALT</v>
      </c>
      <c r="AV524" s="899">
        <f>IFERROR(INDEX(V524:AG524,1,MATCH(Parametres!$B$3,V$1:AG$1,0)-1)*IF(OR(C524="L",C524="S",C524="I"),-1,1),"")</f>
        <v>0</v>
      </c>
      <c r="AW524" s="899">
        <f t="shared" si="53"/>
        <v>0</v>
      </c>
      <c r="AX524" s="899">
        <f>INDEX(V524:AG524,1,MATCH(Parametres!$B$3,V$1:AG$1,0))*IF(OR(C524="L",C524="S",C524="I"),-1,1)</f>
        <v>0</v>
      </c>
      <c r="AY524" s="487" t="s">
        <v>337</v>
      </c>
      <c r="AZ524" s="487" t="str">
        <f>+VLOOKUP($AJ524,Data_Validation!$A:$E,5,0)</f>
        <v>Oui</v>
      </c>
    </row>
    <row r="525" spans="1:52" ht="15" customHeight="1">
      <c r="A525" s="706" t="s">
        <v>1148</v>
      </c>
      <c r="B525" s="706">
        <v>2025</v>
      </c>
      <c r="C525" s="706" t="s">
        <v>2266</v>
      </c>
      <c r="D525" s="706" t="s">
        <v>2267</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G40920</v>
      </c>
      <c r="AK525" s="905" t="str">
        <f t="shared" si="49"/>
        <v>VTES-COBALT          -LOC</v>
      </c>
      <c r="AL525" s="905">
        <f>IFERROR(INDEX(G525:R525,1,MATCH(Parametres!$B$3,G$1:R$1,0)-1)*IF(OR(F525="L",F525="S",F525="I"),-1,1),"")</f>
        <v>0</v>
      </c>
      <c r="AM525" s="905">
        <f t="shared" si="50"/>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51"/>
        <v>G40920</v>
      </c>
      <c r="AU525" s="488" t="str">
        <f t="shared" si="52"/>
        <v>VTES-COBALT          -LOC</v>
      </c>
      <c r="AV525" s="899">
        <f>IFERROR(INDEX(V525:AG525,1,MATCH(Parametres!$B$3,V$1:AG$1,0)-1)*IF(OR(C525="L",C525="S",C525="I"),-1,1),"")</f>
        <v>0</v>
      </c>
      <c r="AW525" s="899">
        <f t="shared" si="53"/>
        <v>0</v>
      </c>
      <c r="AX525" s="899">
        <f>INDEX(V525:AG525,1,MATCH(Parametres!$B$3,V$1:AG$1,0))*IF(OR(C525="L",C525="S",C525="I"),-1,1)</f>
        <v>0</v>
      </c>
      <c r="AY525" s="487" t="s">
        <v>337</v>
      </c>
      <c r="AZ525" s="487" t="e">
        <f>+VLOOKUP($AJ525,Data_Validation!$A:$E,5,0)</f>
        <v>#N/A</v>
      </c>
    </row>
    <row r="526" spans="1:52" ht="15" hidden="1" customHeight="1">
      <c r="A526" s="706" t="s">
        <v>1148</v>
      </c>
      <c r="B526" s="706">
        <v>2025</v>
      </c>
      <c r="C526" s="706" t="s">
        <v>2268</v>
      </c>
      <c r="D526" s="706" t="s">
        <v>2269</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G41000</v>
      </c>
      <c r="AK526" s="905" t="str">
        <f t="shared" si="49"/>
        <v>VENTES CAMARO</v>
      </c>
      <c r="AL526" s="905">
        <f>IFERROR(INDEX(G526:R526,1,MATCH(Parametres!$B$3,G$1:R$1,0)-1)*IF(OR(F526="L",F526="S",F526="I"),-1,1),"")</f>
        <v>0</v>
      </c>
      <c r="AM526" s="905">
        <f t="shared" si="50"/>
        <v>0</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51"/>
        <v>G41000</v>
      </c>
      <c r="AU526" s="488" t="str">
        <f t="shared" si="52"/>
        <v>VENTES CAMARO</v>
      </c>
      <c r="AV526" s="899">
        <f>IFERROR(INDEX(V526:AG526,1,MATCH(Parametres!$B$3,V$1:AG$1,0)-1)*IF(OR(C526="L",C526="S",C526="I"),-1,1),"")</f>
        <v>0</v>
      </c>
      <c r="AW526" s="899">
        <f t="shared" si="53"/>
        <v>0</v>
      </c>
      <c r="AX526" s="899">
        <f>INDEX(V526:AG526,1,MATCH(Parametres!$B$3,V$1:AG$1,0))*IF(OR(C526="L",C526="S",C526="I"),-1,1)</f>
        <v>0</v>
      </c>
      <c r="AY526" s="487" t="s">
        <v>337</v>
      </c>
      <c r="AZ526" s="487" t="str">
        <f>+VLOOKUP($AJ526,Data_Validation!$A:$E,5,0)</f>
        <v>Oui</v>
      </c>
    </row>
    <row r="527" spans="1:52" ht="15" hidden="1" customHeight="1">
      <c r="A527" s="706" t="s">
        <v>1148</v>
      </c>
      <c r="B527" s="706">
        <v>2025</v>
      </c>
      <c r="C527" s="706" t="s">
        <v>2270</v>
      </c>
      <c r="D527" s="706" t="s">
        <v>2271</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G41100</v>
      </c>
      <c r="AK527" s="905" t="str">
        <f t="shared" si="49"/>
        <v>VENTES CRUZE</v>
      </c>
      <c r="AL527" s="905">
        <f>IFERROR(INDEX(G527:R527,1,MATCH(Parametres!$B$3,G$1:R$1,0)-1)*IF(OR(F527="L",F527="S",F527="I"),-1,1),"")</f>
        <v>0</v>
      </c>
      <c r="AM527" s="905">
        <f t="shared" si="50"/>
        <v>0</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51"/>
        <v>G41100</v>
      </c>
      <c r="AU527" s="488" t="str">
        <f t="shared" si="52"/>
        <v>VENTES CRUZE</v>
      </c>
      <c r="AV527" s="899">
        <f>IFERROR(INDEX(V527:AG527,1,MATCH(Parametres!$B$3,V$1:AG$1,0)-1)*IF(OR(C527="L",C527="S",C527="I"),-1,1),"")</f>
        <v>0</v>
      </c>
      <c r="AW527" s="899">
        <f t="shared" si="53"/>
        <v>0</v>
      </c>
      <c r="AX527" s="899">
        <f>INDEX(V527:AG527,1,MATCH(Parametres!$B$3,V$1:AG$1,0))*IF(OR(C527="L",C527="S",C527="I"),-1,1)</f>
        <v>0</v>
      </c>
      <c r="AY527" s="487" t="s">
        <v>337</v>
      </c>
      <c r="AZ527" s="487" t="str">
        <f>+VLOOKUP($AJ527,Data_Validation!$A:$E,5,0)</f>
        <v>Oui</v>
      </c>
    </row>
    <row r="528" spans="1:52" ht="15" customHeight="1">
      <c r="A528" s="706" t="s">
        <v>1148</v>
      </c>
      <c r="B528" s="706">
        <v>2025</v>
      </c>
      <c r="C528" s="706" t="s">
        <v>2272</v>
      </c>
      <c r="D528" s="706" t="s">
        <v>2273</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G41600</v>
      </c>
      <c r="AK528" s="905" t="str">
        <f t="shared" si="49"/>
        <v>*PROGRAMME GENERAL MOTORS</v>
      </c>
      <c r="AL528" s="905">
        <f>IFERROR(INDEX(G528:R528,1,MATCH(Parametres!$B$3,G$1:R$1,0)-1)*IF(OR(F528="L",F528="S",F528="I"),-1,1),"")</f>
        <v>0</v>
      </c>
      <c r="AM528" s="905">
        <f t="shared" si="50"/>
        <v>0</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51"/>
        <v>G41600</v>
      </c>
      <c r="AU528" s="488" t="str">
        <f t="shared" si="52"/>
        <v>*PROGRAMME GENERAL MOTORS</v>
      </c>
      <c r="AV528" s="899">
        <f>IFERROR(INDEX(V528:AG528,1,MATCH(Parametres!$B$3,V$1:AG$1,0)-1)*IF(OR(C528="L",C528="S",C528="I"),-1,1),"")</f>
        <v>0</v>
      </c>
      <c r="AW528" s="899">
        <f t="shared" si="53"/>
        <v>0</v>
      </c>
      <c r="AX528" s="899">
        <f>INDEX(V528:AG528,1,MATCH(Parametres!$B$3,V$1:AG$1,0))*IF(OR(C528="L",C528="S",C528="I"),-1,1)</f>
        <v>0</v>
      </c>
      <c r="AY528" s="487" t="s">
        <v>337</v>
      </c>
      <c r="AZ528" s="487">
        <f>+VLOOKUP($AJ528,Data_Validation!$A:$E,5,0)</f>
        <v>0</v>
      </c>
    </row>
    <row r="529" spans="1:52" ht="15" customHeight="1">
      <c r="A529" s="706" t="s">
        <v>1148</v>
      </c>
      <c r="B529" s="706">
        <v>2025</v>
      </c>
      <c r="C529" s="706" t="s">
        <v>2274</v>
      </c>
      <c r="D529" s="706" t="s">
        <v>2275</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G41700</v>
      </c>
      <c r="AK529" s="905" t="str">
        <f t="shared" si="49"/>
        <v>VTES-CHEV AUTOS AUTRES</v>
      </c>
      <c r="AL529" s="905">
        <f>IFERROR(INDEX(G529:R529,1,MATCH(Parametres!$B$3,G$1:R$1,0)-1)*IF(OR(F529="L",F529="S",F529="I"),-1,1),"")</f>
        <v>0</v>
      </c>
      <c r="AM529" s="905">
        <f t="shared" si="50"/>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51"/>
        <v>G41700</v>
      </c>
      <c r="AU529" s="488" t="str">
        <f t="shared" si="52"/>
        <v>VTES-CHEV AUTOS AUTRES</v>
      </c>
      <c r="AV529" s="899">
        <f>IFERROR(INDEX(V529:AG529,1,MATCH(Parametres!$B$3,V$1:AG$1,0)-1)*IF(OR(C529="L",C529="S",C529="I"),-1,1),"")</f>
        <v>0</v>
      </c>
      <c r="AW529" s="899">
        <f t="shared" si="53"/>
        <v>0</v>
      </c>
      <c r="AX529" s="899">
        <f>INDEX(V529:AG529,1,MATCH(Parametres!$B$3,V$1:AG$1,0))*IF(OR(C529="L",C529="S",C529="I"),-1,1)</f>
        <v>0</v>
      </c>
      <c r="AY529" s="487" t="s">
        <v>337</v>
      </c>
      <c r="AZ529" s="487" t="e">
        <f>+VLOOKUP($AJ529,Data_Validation!$A:$E,5,0)</f>
        <v>#N/A</v>
      </c>
    </row>
    <row r="530" spans="1:52" ht="15" customHeight="1">
      <c r="A530" s="706" t="s">
        <v>1148</v>
      </c>
      <c r="B530" s="706">
        <v>2025</v>
      </c>
      <c r="C530" s="706" t="s">
        <v>2276</v>
      </c>
      <c r="D530" s="706" t="s">
        <v>2277</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G41720</v>
      </c>
      <c r="AK530" s="905" t="str">
        <f t="shared" si="49"/>
        <v>VTES-CHEV AUTOS AUTRE-LOC</v>
      </c>
      <c r="AL530" s="905">
        <f>IFERROR(INDEX(G530:R530,1,MATCH(Parametres!$B$3,G$1:R$1,0)-1)*IF(OR(F530="L",F530="S",F530="I"),-1,1),"")</f>
        <v>0</v>
      </c>
      <c r="AM530" s="905">
        <f t="shared" si="50"/>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51"/>
        <v>G41720</v>
      </c>
      <c r="AU530" s="488" t="str">
        <f t="shared" si="52"/>
        <v>VTES-CHEV AUTOS AUTRE-LOC</v>
      </c>
      <c r="AV530" s="899">
        <f>IFERROR(INDEX(V530:AG530,1,MATCH(Parametres!$B$3,V$1:AG$1,0)-1)*IF(OR(C530="L",C530="S",C530="I"),-1,1),"")</f>
        <v>0</v>
      </c>
      <c r="AW530" s="899">
        <f t="shared" si="53"/>
        <v>0</v>
      </c>
      <c r="AX530" s="899">
        <f>INDEX(V530:AG530,1,MATCH(Parametres!$B$3,V$1:AG$1,0))*IF(OR(C530="L",C530="S",C530="I"),-1,1)</f>
        <v>0</v>
      </c>
      <c r="AY530" s="487" t="s">
        <v>337</v>
      </c>
      <c r="AZ530" s="487" t="e">
        <f>+VLOOKUP($AJ530,Data_Validation!$A:$E,5,0)</f>
        <v>#N/A</v>
      </c>
    </row>
    <row r="531" spans="1:52" ht="15" customHeight="1">
      <c r="A531" s="706" t="s">
        <v>1148</v>
      </c>
      <c r="B531" s="706">
        <v>2025</v>
      </c>
      <c r="C531" s="706" t="s">
        <v>2278</v>
      </c>
      <c r="D531" s="706" t="s">
        <v>2279</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905" t="str">
        <f t="shared" ref="AJ531:AJ594" si="54">C531</f>
        <v>G41799</v>
      </c>
      <c r="AK531" s="905" t="str">
        <f t="shared" ref="AK531:AK594" si="55">D531</f>
        <v>VTES-ECHANGE CONCESSIONN.</v>
      </c>
      <c r="AL531" s="905">
        <f>IFERROR(INDEX(G531:R531,1,MATCH(Parametres!$B$3,G$1:R$1,0)-1)*IF(OR(F531="L",F531="S",F531="I"),-1,1),"")</f>
        <v>0</v>
      </c>
      <c r="AM531" s="905">
        <f t="shared" si="50"/>
        <v>0</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51"/>
        <v>G41799</v>
      </c>
      <c r="AU531" s="488" t="str">
        <f t="shared" si="52"/>
        <v>VTES-ECHANGE CONCESSIONN.</v>
      </c>
      <c r="AV531" s="899">
        <f>IFERROR(INDEX(V531:AG531,1,MATCH(Parametres!$B$3,V$1:AG$1,0)-1)*IF(OR(C531="L",C531="S",C531="I"),-1,1),"")</f>
        <v>315</v>
      </c>
      <c r="AW531" s="899">
        <f t="shared" si="53"/>
        <v>29</v>
      </c>
      <c r="AX531" s="899">
        <f>INDEX(V531:AG531,1,MATCH(Parametres!$B$3,V$1:AG$1,0))*IF(OR(C531="L",C531="S",C531="I"),-1,1)</f>
        <v>344</v>
      </c>
      <c r="AY531" s="487" t="s">
        <v>337</v>
      </c>
      <c r="AZ531" s="487">
        <f>+VLOOKUP($AJ531,Data_Validation!$A:$E,5,0)</f>
        <v>0</v>
      </c>
    </row>
    <row r="532" spans="1:52" ht="15" customHeight="1">
      <c r="A532" s="706" t="s">
        <v>1148</v>
      </c>
      <c r="B532" s="706">
        <v>2025</v>
      </c>
      <c r="C532" s="706" t="s">
        <v>2280</v>
      </c>
      <c r="D532" s="706" t="s">
        <v>2281</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G41800</v>
      </c>
      <c r="AK532" s="905" t="str">
        <f t="shared" si="55"/>
        <v>AUTRES CHEVROLET</v>
      </c>
      <c r="AL532" s="905">
        <f>IFERROR(INDEX(G532:R532,1,MATCH(Parametres!$B$3,G$1:R$1,0)-1)*IF(OR(F532="L",F532="S",F532="I"),-1,1),"")</f>
        <v>0</v>
      </c>
      <c r="AM532" s="905">
        <f t="shared" si="50"/>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51"/>
        <v>G41800</v>
      </c>
      <c r="AU532" s="488" t="str">
        <f t="shared" si="52"/>
        <v>AUTRES CHEVROLET</v>
      </c>
      <c r="AV532" s="899">
        <f>IFERROR(INDEX(V532:AG532,1,MATCH(Parametres!$B$3,V$1:AG$1,0)-1)*IF(OR(C532="L",C532="S",C532="I"),-1,1),"")</f>
        <v>0</v>
      </c>
      <c r="AW532" s="899">
        <f t="shared" si="53"/>
        <v>0</v>
      </c>
      <c r="AX532" s="899">
        <f>INDEX(V532:AG532,1,MATCH(Parametres!$B$3,V$1:AG$1,0))*IF(OR(C532="L",C532="S",C532="I"),-1,1)</f>
        <v>0</v>
      </c>
      <c r="AY532" s="487" t="s">
        <v>337</v>
      </c>
      <c r="AZ532" s="487" t="e">
        <f>+VLOOKUP($AJ532,Data_Validation!$A:$E,5,0)</f>
        <v>#N/A</v>
      </c>
    </row>
    <row r="533" spans="1:52" ht="15" customHeight="1">
      <c r="A533" s="706" t="s">
        <v>1148</v>
      </c>
      <c r="B533" s="706">
        <v>2025</v>
      </c>
      <c r="C533" s="706" t="s">
        <v>2282</v>
      </c>
      <c r="D533" s="706" t="s">
        <v>2283</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G42000</v>
      </c>
      <c r="AK533" s="905" t="str">
        <f t="shared" si="55"/>
        <v>VTES-PARCS VOITURES</v>
      </c>
      <c r="AL533" s="905">
        <f>IFERROR(INDEX(G533:R533,1,MATCH(Parametres!$B$3,G$1:R$1,0)-1)*IF(OR(F533="L",F533="S",F533="I"),-1,1),"")</f>
        <v>0</v>
      </c>
      <c r="AM533" s="905">
        <f t="shared" si="50"/>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51"/>
        <v>G42000</v>
      </c>
      <c r="AU533" s="488" t="str">
        <f t="shared" si="52"/>
        <v>VTES-PARCS VOITURES</v>
      </c>
      <c r="AV533" s="899">
        <f>IFERROR(INDEX(V533:AG533,1,MATCH(Parametres!$B$3,V$1:AG$1,0)-1)*IF(OR(C533="L",C533="S",C533="I"),-1,1),"")</f>
        <v>0</v>
      </c>
      <c r="AW533" s="899">
        <f t="shared" si="53"/>
        <v>0</v>
      </c>
      <c r="AX533" s="899">
        <f>INDEX(V533:AG533,1,MATCH(Parametres!$B$3,V$1:AG$1,0))*IF(OR(C533="L",C533="S",C533="I"),-1,1)</f>
        <v>0</v>
      </c>
      <c r="AY533" s="487" t="s">
        <v>337</v>
      </c>
      <c r="AZ533" s="487" t="e">
        <f>+VLOOKUP($AJ533,Data_Validation!$A:$E,5,0)</f>
        <v>#N/A</v>
      </c>
    </row>
    <row r="534" spans="1:52" ht="15" customHeight="1">
      <c r="A534" s="706" t="s">
        <v>1148</v>
      </c>
      <c r="B534" s="706">
        <v>2025</v>
      </c>
      <c r="C534" s="706" t="s">
        <v>2284</v>
      </c>
      <c r="D534" s="706" t="s">
        <v>2285</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G42100</v>
      </c>
      <c r="AK534" s="905" t="str">
        <f t="shared" si="55"/>
        <v>VTES-VOITURES INTERNE</v>
      </c>
      <c r="AL534" s="905">
        <f>IFERROR(INDEX(G534:R534,1,MATCH(Parametres!$B$3,G$1:R$1,0)-1)*IF(OR(F534="L",F534="S",F534="I"),-1,1),"")</f>
        <v>0</v>
      </c>
      <c r="AM534" s="905">
        <f t="shared" si="50"/>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51"/>
        <v>G42100</v>
      </c>
      <c r="AU534" s="488" t="str">
        <f t="shared" si="52"/>
        <v>VTES-VOITURES INTERNE</v>
      </c>
      <c r="AV534" s="899">
        <f>IFERROR(INDEX(V534:AG534,1,MATCH(Parametres!$B$3,V$1:AG$1,0)-1)*IF(OR(C534="L",C534="S",C534="I"),-1,1),"")</f>
        <v>0</v>
      </c>
      <c r="AW534" s="899">
        <f t="shared" si="53"/>
        <v>0</v>
      </c>
      <c r="AX534" s="899">
        <f>INDEX(V534:AG534,1,MATCH(Parametres!$B$3,V$1:AG$1,0))*IF(OR(C534="L",C534="S",C534="I"),-1,1)</f>
        <v>0</v>
      </c>
      <c r="AY534" s="487" t="s">
        <v>337</v>
      </c>
      <c r="AZ534" s="487" t="e">
        <f>+VLOOKUP($AJ534,Data_Validation!$A:$E,5,0)</f>
        <v>#N/A</v>
      </c>
    </row>
    <row r="535" spans="1:52" ht="15" customHeight="1">
      <c r="A535" s="706" t="s">
        <v>1148</v>
      </c>
      <c r="B535" s="706">
        <v>2025</v>
      </c>
      <c r="C535" s="706" t="s">
        <v>2286</v>
      </c>
      <c r="D535" s="706" t="s">
        <v>2287</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G42300</v>
      </c>
      <c r="AK535" s="905" t="str">
        <f t="shared" si="55"/>
        <v>VTES-VENTURES-UPLAND VAN</v>
      </c>
      <c r="AL535" s="905">
        <f>IFERROR(INDEX(G535:R535,1,MATCH(Parametres!$B$3,G$1:R$1,0)-1)*IF(OR(F535="L",F535="S",F535="I"),-1,1),"")</f>
        <v>0</v>
      </c>
      <c r="AM535" s="905">
        <f t="shared" si="50"/>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G42300</v>
      </c>
      <c r="AU535" s="488" t="str">
        <f t="shared" si="52"/>
        <v>VTES-VENTURES-UPLAND VAN</v>
      </c>
      <c r="AV535" s="899">
        <f>IFERROR(INDEX(V535:AG535,1,MATCH(Parametres!$B$3,V$1:AG$1,0)-1)*IF(OR(C535="L",C535="S",C535="I"),-1,1),"")</f>
        <v>0</v>
      </c>
      <c r="AW535" s="899">
        <f t="shared" si="53"/>
        <v>0</v>
      </c>
      <c r="AX535" s="899">
        <f>INDEX(V535:AG535,1,MATCH(Parametres!$B$3,V$1:AG$1,0))*IF(OR(C535="L",C535="S",C535="I"),-1,1)</f>
        <v>0</v>
      </c>
      <c r="AY535" s="487" t="s">
        <v>337</v>
      </c>
      <c r="AZ535" s="487" t="e">
        <f>+VLOOKUP($AJ535,Data_Validation!$A:$E,5,0)</f>
        <v>#N/A</v>
      </c>
    </row>
    <row r="536" spans="1:52" ht="15" customHeight="1">
      <c r="A536" s="706" t="s">
        <v>1148</v>
      </c>
      <c r="B536" s="706">
        <v>2025</v>
      </c>
      <c r="C536" s="706" t="s">
        <v>2288</v>
      </c>
      <c r="D536" s="706" t="s">
        <v>2289</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G42312</v>
      </c>
      <c r="AK536" s="905" t="str">
        <f t="shared" si="55"/>
        <v>VTES-KODIAK/TOPKICK 4/5</v>
      </c>
      <c r="AL536" s="905">
        <f>IFERROR(INDEX(G536:R536,1,MATCH(Parametres!$B$3,G$1:R$1,0)-1)*IF(OR(F536="L",F536="S",F536="I"),-1,1),"")</f>
        <v>0</v>
      </c>
      <c r="AM536" s="905">
        <f t="shared" si="50"/>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51"/>
        <v>G42312</v>
      </c>
      <c r="AU536" s="488" t="str">
        <f t="shared" si="52"/>
        <v>VTES-KODIAK/TOPKICK 4/5</v>
      </c>
      <c r="AV536" s="899">
        <f>IFERROR(INDEX(V536:AG536,1,MATCH(Parametres!$B$3,V$1:AG$1,0)-1)*IF(OR(C536="L",C536="S",C536="I"),-1,1),"")</f>
        <v>0</v>
      </c>
      <c r="AW536" s="899">
        <f t="shared" si="53"/>
        <v>0</v>
      </c>
      <c r="AX536" s="899">
        <f>INDEX(V536:AG536,1,MATCH(Parametres!$B$3,V$1:AG$1,0))*IF(OR(C536="L",C536="S",C536="I"),-1,1)</f>
        <v>0</v>
      </c>
      <c r="AY536" s="487" t="s">
        <v>337</v>
      </c>
      <c r="AZ536" s="487" t="e">
        <f>+VLOOKUP($AJ536,Data_Validation!$A:$E,5,0)</f>
        <v>#N/A</v>
      </c>
    </row>
    <row r="537" spans="1:52" ht="15" customHeight="1">
      <c r="A537" s="706" t="s">
        <v>1148</v>
      </c>
      <c r="B537" s="706">
        <v>2025</v>
      </c>
      <c r="C537" s="706" t="s">
        <v>2290</v>
      </c>
      <c r="D537" s="706" t="s">
        <v>2291</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G42320</v>
      </c>
      <c r="AK537" s="905" t="str">
        <f t="shared" si="55"/>
        <v>VTES-VENTURE-UPLANDER-LOC</v>
      </c>
      <c r="AL537" s="905">
        <f>IFERROR(INDEX(G537:R537,1,MATCH(Parametres!$B$3,G$1:R$1,0)-1)*IF(OR(F537="L",F537="S",F537="I"),-1,1),"")</f>
        <v>0</v>
      </c>
      <c r="AM537" s="905">
        <f t="shared" si="50"/>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51"/>
        <v>G42320</v>
      </c>
      <c r="AU537" s="488" t="str">
        <f t="shared" si="52"/>
        <v>VTES-VENTURE-UPLANDER-LOC</v>
      </c>
      <c r="AV537" s="899">
        <f>IFERROR(INDEX(V537:AG537,1,MATCH(Parametres!$B$3,V$1:AG$1,0)-1)*IF(OR(C537="L",C537="S",C537="I"),-1,1),"")</f>
        <v>0</v>
      </c>
      <c r="AW537" s="899">
        <f t="shared" si="53"/>
        <v>0</v>
      </c>
      <c r="AX537" s="899">
        <f>INDEX(V537:AG537,1,MATCH(Parametres!$B$3,V$1:AG$1,0))*IF(OR(C537="L",C537="S",C537="I"),-1,1)</f>
        <v>0</v>
      </c>
      <c r="AY537" s="487" t="s">
        <v>337</v>
      </c>
      <c r="AZ537" s="487" t="e">
        <f>+VLOOKUP($AJ537,Data_Validation!$A:$E,5,0)</f>
        <v>#N/A</v>
      </c>
    </row>
    <row r="538" spans="1:52" ht="15" hidden="1" customHeight="1">
      <c r="A538" s="706" t="s">
        <v>1148</v>
      </c>
      <c r="B538" s="706">
        <v>2025</v>
      </c>
      <c r="C538" s="706" t="s">
        <v>2292</v>
      </c>
      <c r="D538" s="706" t="s">
        <v>2293</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905" t="str">
        <f t="shared" si="54"/>
        <v>G42400</v>
      </c>
      <c r="AK538" s="905" t="str">
        <f t="shared" si="55"/>
        <v>VTES-TERRAIN</v>
      </c>
      <c r="AL538" s="905">
        <f>IFERROR(INDEX(G538:R538,1,MATCH(Parametres!$B$3,G$1:R$1,0)-1)*IF(OR(F538="L",F538="S",F538="I"),-1,1),"")</f>
        <v>-668578.91</v>
      </c>
      <c r="AM538" s="905">
        <f t="shared" si="50"/>
        <v>0</v>
      </c>
      <c r="AN538" s="905">
        <f>INDEX(G538:R538,1,MATCH(Parametres!$B$3,G$1:R$1,0))*IF(OR(F538="L",F538="S",F538="I"),-1,1)</f>
        <v>-668578.91</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51"/>
        <v>G42400</v>
      </c>
      <c r="AU538" s="488" t="str">
        <f t="shared" si="52"/>
        <v>VTES-TERRAIN</v>
      </c>
      <c r="AV538" s="899">
        <f>IFERROR(INDEX(V538:AG538,1,MATCH(Parametres!$B$3,V$1:AG$1,0)-1)*IF(OR(C538="L",C538="S",C538="I"),-1,1),"")</f>
        <v>15</v>
      </c>
      <c r="AW538" s="899">
        <f t="shared" si="53"/>
        <v>0</v>
      </c>
      <c r="AX538" s="899">
        <f>INDEX(V538:AG538,1,MATCH(Parametres!$B$3,V$1:AG$1,0))*IF(OR(C538="L",C538="S",C538="I"),-1,1)</f>
        <v>15</v>
      </c>
      <c r="AY538" s="487" t="s">
        <v>337</v>
      </c>
      <c r="AZ538" s="487" t="str">
        <f>+VLOOKUP($AJ538,Data_Validation!$A:$E,5,0)</f>
        <v>Oui</v>
      </c>
    </row>
    <row r="539" spans="1:52" ht="15" hidden="1" customHeight="1">
      <c r="A539" s="706" t="s">
        <v>1148</v>
      </c>
      <c r="B539" s="706">
        <v>2025</v>
      </c>
      <c r="C539" s="706" t="s">
        <v>2294</v>
      </c>
      <c r="D539" s="706" t="s">
        <v>2295</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G42401</v>
      </c>
      <c r="AK539" s="905" t="str">
        <f t="shared" si="55"/>
        <v>VENTES - BOLT EUV</v>
      </c>
      <c r="AL539" s="905">
        <f>IFERROR(INDEX(G539:R539,1,MATCH(Parametres!$B$3,G$1:R$1,0)-1)*IF(OR(F539="L",F539="S",F539="I"),-1,1),"")</f>
        <v>0</v>
      </c>
      <c r="AM539" s="905">
        <f t="shared" si="50"/>
        <v>0</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51"/>
        <v>G42401</v>
      </c>
      <c r="AU539" s="488" t="str">
        <f t="shared" si="52"/>
        <v>VENTES - BOLT EUV</v>
      </c>
      <c r="AV539" s="899">
        <f>IFERROR(INDEX(V539:AG539,1,MATCH(Parametres!$B$3,V$1:AG$1,0)-1)*IF(OR(C539="L",C539="S",C539="I"),-1,1),"")</f>
        <v>0</v>
      </c>
      <c r="AW539" s="899">
        <f t="shared" si="53"/>
        <v>0</v>
      </c>
      <c r="AX539" s="899">
        <f>INDEX(V539:AG539,1,MATCH(Parametres!$B$3,V$1:AG$1,0))*IF(OR(C539="L",C539="S",C539="I"),-1,1)</f>
        <v>0</v>
      </c>
      <c r="AY539" s="487" t="s">
        <v>337</v>
      </c>
      <c r="AZ539" s="487" t="str">
        <f>+VLOOKUP($AJ539,Data_Validation!$A:$E,5,0)</f>
        <v>Oui</v>
      </c>
    </row>
    <row r="540" spans="1:52" ht="15" customHeight="1">
      <c r="A540" s="706" t="s">
        <v>1148</v>
      </c>
      <c r="B540" s="706">
        <v>2025</v>
      </c>
      <c r="C540" s="706" t="s">
        <v>2296</v>
      </c>
      <c r="D540" s="706" t="s">
        <v>2297</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G42412</v>
      </c>
      <c r="AK540" s="905" t="str">
        <f t="shared" si="55"/>
        <v>VTES-TOPKICK 6/7/8 C</v>
      </c>
      <c r="AL540" s="905">
        <f>IFERROR(INDEX(G540:R540,1,MATCH(Parametres!$B$3,G$1:R$1,0)-1)*IF(OR(F540="L",F540="S",F540="I"),-1,1),"")</f>
        <v>0</v>
      </c>
      <c r="AM540" s="905">
        <f t="shared" si="50"/>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51"/>
        <v>G42412</v>
      </c>
      <c r="AU540" s="488" t="str">
        <f t="shared" si="52"/>
        <v>VTES-TOPKICK 6/7/8 C</v>
      </c>
      <c r="AV540" s="899">
        <f>IFERROR(INDEX(V540:AG540,1,MATCH(Parametres!$B$3,V$1:AG$1,0)-1)*IF(OR(C540="L",C540="S",C540="I"),-1,1),"")</f>
        <v>0</v>
      </c>
      <c r="AW540" s="899">
        <f t="shared" si="53"/>
        <v>0</v>
      </c>
      <c r="AX540" s="899">
        <f>INDEX(V540:AG540,1,MATCH(Parametres!$B$3,V$1:AG$1,0))*IF(OR(C540="L",C540="S",C540="I"),-1,1)</f>
        <v>0</v>
      </c>
      <c r="AY540" s="487" t="s">
        <v>337</v>
      </c>
      <c r="AZ540" s="487" t="e">
        <f>+VLOOKUP($AJ540,Data_Validation!$A:$E,5,0)</f>
        <v>#N/A</v>
      </c>
    </row>
    <row r="541" spans="1:52" ht="15" hidden="1" customHeight="1">
      <c r="A541" s="706" t="s">
        <v>1148</v>
      </c>
      <c r="B541" s="706">
        <v>2025</v>
      </c>
      <c r="C541" s="706" t="s">
        <v>2298</v>
      </c>
      <c r="D541" s="706" t="s">
        <v>2299</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G42500</v>
      </c>
      <c r="AK541" s="905" t="str">
        <f t="shared" si="55"/>
        <v>VTES-G EXPRESS</v>
      </c>
      <c r="AL541" s="905">
        <f>IFERROR(INDEX(G541:R541,1,MATCH(Parametres!$B$3,G$1:R$1,0)-1)*IF(OR(F541="L",F541="S",F541="I"),-1,1),"")</f>
        <v>0</v>
      </c>
      <c r="AM541" s="905">
        <f t="shared" si="50"/>
        <v>0</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51"/>
        <v>G42500</v>
      </c>
      <c r="AU541" s="488" t="str">
        <f t="shared" si="52"/>
        <v>VTES-G EXPRESS</v>
      </c>
      <c r="AV541" s="899">
        <f>IFERROR(INDEX(V541:AG541,1,MATCH(Parametres!$B$3,V$1:AG$1,0)-1)*IF(OR(C541="L",C541="S",C541="I"),-1,1),"")</f>
        <v>0</v>
      </c>
      <c r="AW541" s="899">
        <f t="shared" si="53"/>
        <v>0</v>
      </c>
      <c r="AX541" s="899">
        <f>INDEX(V541:AG541,1,MATCH(Parametres!$B$3,V$1:AG$1,0))*IF(OR(C541="L",C541="S",C541="I"),-1,1)</f>
        <v>0</v>
      </c>
      <c r="AY541" s="487" t="s">
        <v>337</v>
      </c>
      <c r="AZ541" s="487" t="str">
        <f>+VLOOKUP($AJ541,Data_Validation!$A:$E,5,0)</f>
        <v>Oui</v>
      </c>
    </row>
    <row r="542" spans="1:52" ht="15" hidden="1" customHeight="1">
      <c r="A542" s="706" t="s">
        <v>1148</v>
      </c>
      <c r="B542" s="706">
        <v>2025</v>
      </c>
      <c r="C542" s="706" t="s">
        <v>2300</v>
      </c>
      <c r="D542" s="706" t="s">
        <v>2301</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905" t="str">
        <f t="shared" si="54"/>
        <v>G42502</v>
      </c>
      <c r="AK542" s="905" t="str">
        <f t="shared" si="55"/>
        <v>VENTES SAVANA</v>
      </c>
      <c r="AL542" s="905">
        <f>IFERROR(INDEX(G542:R542,1,MATCH(Parametres!$B$3,G$1:R$1,0)-1)*IF(OR(F542="L",F542="S",F542="I"),-1,1),"")</f>
        <v>0</v>
      </c>
      <c r="AM542" s="905">
        <f t="shared" si="50"/>
        <v>0</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51"/>
        <v>G42502</v>
      </c>
      <c r="AU542" s="488" t="str">
        <f t="shared" si="52"/>
        <v>VENTES SAVANA</v>
      </c>
      <c r="AV542" s="899">
        <f>IFERROR(INDEX(V542:AG542,1,MATCH(Parametres!$B$3,V$1:AG$1,0)-1)*IF(OR(C542="L",C542="S",C542="I"),-1,1),"")</f>
        <v>0</v>
      </c>
      <c r="AW542" s="899">
        <f t="shared" si="53"/>
        <v>0</v>
      </c>
      <c r="AX542" s="899">
        <f>INDEX(V542:AG542,1,MATCH(Parametres!$B$3,V$1:AG$1,0))*IF(OR(C542="L",C542="S",C542="I"),-1,1)</f>
        <v>0</v>
      </c>
      <c r="AY542" s="487" t="s">
        <v>337</v>
      </c>
      <c r="AZ542" s="487" t="str">
        <f>+VLOOKUP($AJ542,Data_Validation!$A:$E,5,0)</f>
        <v>Oui</v>
      </c>
    </row>
    <row r="543" spans="1:52" ht="15" customHeight="1">
      <c r="A543" s="706" t="s">
        <v>1148</v>
      </c>
      <c r="B543" s="706">
        <v>2025</v>
      </c>
      <c r="C543" s="706" t="s">
        <v>2302</v>
      </c>
      <c r="D543" s="706" t="s">
        <v>2303</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G42512</v>
      </c>
      <c r="AK543" s="905" t="str">
        <f t="shared" si="55"/>
        <v>VTES-TOPKICK 6/7/8 T</v>
      </c>
      <c r="AL543" s="905">
        <f>IFERROR(INDEX(G543:R543,1,MATCH(Parametres!$B$3,G$1:R$1,0)-1)*IF(OR(F543="L",F543="S",F543="I"),-1,1),"")</f>
        <v>0</v>
      </c>
      <c r="AM543" s="905">
        <f t="shared" si="50"/>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51"/>
        <v>G42512</v>
      </c>
      <c r="AU543" s="488" t="str">
        <f t="shared" si="52"/>
        <v>VTES-TOPKICK 6/7/8 T</v>
      </c>
      <c r="AV543" s="899">
        <f>IFERROR(INDEX(V543:AG543,1,MATCH(Parametres!$B$3,V$1:AG$1,0)-1)*IF(OR(C543="L",C543="S",C543="I"),-1,1),"")</f>
        <v>0</v>
      </c>
      <c r="AW543" s="899">
        <f t="shared" si="53"/>
        <v>0</v>
      </c>
      <c r="AX543" s="899">
        <f>INDEX(V543:AG543,1,MATCH(Parametres!$B$3,V$1:AG$1,0))*IF(OR(C543="L",C543="S",C543="I"),-1,1)</f>
        <v>0</v>
      </c>
      <c r="AY543" s="487" t="s">
        <v>337</v>
      </c>
      <c r="AZ543" s="487" t="e">
        <f>+VLOOKUP($AJ543,Data_Validation!$A:$E,5,0)</f>
        <v>#N/A</v>
      </c>
    </row>
    <row r="544" spans="1:52" ht="15" customHeight="1">
      <c r="A544" s="706" t="s">
        <v>1148</v>
      </c>
      <c r="B544" s="706">
        <v>2025</v>
      </c>
      <c r="C544" s="706" t="s">
        <v>2304</v>
      </c>
      <c r="D544" s="706" t="s">
        <v>2305</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G42520</v>
      </c>
      <c r="AK544" s="905" t="str">
        <f t="shared" si="55"/>
        <v>VTES-G EXPRESS       -LOC</v>
      </c>
      <c r="AL544" s="905">
        <f>IFERROR(INDEX(G544:R544,1,MATCH(Parametres!$B$3,G$1:R$1,0)-1)*IF(OR(F544="L",F544="S",F544="I"),-1,1),"")</f>
        <v>0</v>
      </c>
      <c r="AM544" s="905">
        <f t="shared" si="50"/>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51"/>
        <v>G42520</v>
      </c>
      <c r="AU544" s="488" t="str">
        <f t="shared" si="52"/>
        <v>VTES-G EXPRESS       -LOC</v>
      </c>
      <c r="AV544" s="899">
        <f>IFERROR(INDEX(V544:AG544,1,MATCH(Parametres!$B$3,V$1:AG$1,0)-1)*IF(OR(C544="L",C544="S",C544="I"),-1,1),"")</f>
        <v>0</v>
      </c>
      <c r="AW544" s="899">
        <f t="shared" si="53"/>
        <v>0</v>
      </c>
      <c r="AX544" s="899">
        <f>INDEX(V544:AG544,1,MATCH(Parametres!$B$3,V$1:AG$1,0))*IF(OR(C544="L",C544="S",C544="I"),-1,1)</f>
        <v>0</v>
      </c>
      <c r="AY544" s="487" t="s">
        <v>337</v>
      </c>
      <c r="AZ544" s="487" t="e">
        <f>+VLOOKUP($AJ544,Data_Validation!$A:$E,5,0)</f>
        <v>#N/A</v>
      </c>
    </row>
    <row r="545" spans="1:52" ht="15" hidden="1" customHeight="1">
      <c r="A545" s="706" t="s">
        <v>1148</v>
      </c>
      <c r="B545" s="706">
        <v>2025</v>
      </c>
      <c r="C545" s="706" t="s">
        <v>2306</v>
      </c>
      <c r="D545" s="706" t="s">
        <v>2307</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905" t="str">
        <f t="shared" si="54"/>
        <v>G42600</v>
      </c>
      <c r="AK545" s="905" t="str">
        <f t="shared" si="55"/>
        <v>VTES-S-PICKUP/COLORADO</v>
      </c>
      <c r="AL545" s="905">
        <f>IFERROR(INDEX(G545:R545,1,MATCH(Parametres!$B$3,G$1:R$1,0)-1)*IF(OR(F545="L",F545="S",F545="I"),-1,1),"")</f>
        <v>-598847.13</v>
      </c>
      <c r="AM545" s="905">
        <f t="shared" si="50"/>
        <v>-74015.5</v>
      </c>
      <c r="AN545" s="905">
        <f>INDEX(G545:R545,1,MATCH(Parametres!$B$3,G$1:R$1,0))*IF(OR(F545="L",F545="S",F545="I"),-1,1)</f>
        <v>-672862.63</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51"/>
        <v>G42600</v>
      </c>
      <c r="AU545" s="488" t="str">
        <f t="shared" si="52"/>
        <v>VTES-S-PICKUP/COLORADO</v>
      </c>
      <c r="AV545" s="899">
        <f>IFERROR(INDEX(V545:AG545,1,MATCH(Parametres!$B$3,V$1:AG$1,0)-1)*IF(OR(C545="L",C545="S",C545="I"),-1,1),"")</f>
        <v>10</v>
      </c>
      <c r="AW545" s="899">
        <f t="shared" si="53"/>
        <v>1</v>
      </c>
      <c r="AX545" s="899">
        <f>INDEX(V545:AG545,1,MATCH(Parametres!$B$3,V$1:AG$1,0))*IF(OR(C545="L",C545="S",C545="I"),-1,1)</f>
        <v>11</v>
      </c>
      <c r="AY545" s="487" t="s">
        <v>337</v>
      </c>
      <c r="AZ545" s="487" t="str">
        <f>+VLOOKUP($AJ545,Data_Validation!$A:$E,5,0)</f>
        <v>Oui</v>
      </c>
    </row>
    <row r="546" spans="1:52" ht="15" hidden="1" customHeight="1">
      <c r="A546" s="706" t="s">
        <v>1148</v>
      </c>
      <c r="B546" s="706">
        <v>2025</v>
      </c>
      <c r="C546" s="706" t="s">
        <v>2308</v>
      </c>
      <c r="D546" s="706" t="s">
        <v>2309</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905" t="str">
        <f t="shared" si="54"/>
        <v>G42602</v>
      </c>
      <c r="AK546" s="905" t="str">
        <f t="shared" si="55"/>
        <v>VENTES GMC CANYON</v>
      </c>
      <c r="AL546" s="905">
        <f>IFERROR(INDEX(G546:R546,1,MATCH(Parametres!$B$3,G$1:R$1,0)-1)*IF(OR(F546="L",F546="S",F546="I"),-1,1),"")</f>
        <v>-519228.71</v>
      </c>
      <c r="AM546" s="905">
        <f t="shared" si="50"/>
        <v>0</v>
      </c>
      <c r="AN546" s="905">
        <f>INDEX(G546:R546,1,MATCH(Parametres!$B$3,G$1:R$1,0))*IF(OR(F546="L",F546="S",F546="I"),-1,1)</f>
        <v>-519228.71</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51"/>
        <v>G42602</v>
      </c>
      <c r="AU546" s="488" t="str">
        <f t="shared" si="52"/>
        <v>VENTES GMC CANYON</v>
      </c>
      <c r="AV546" s="899">
        <f>IFERROR(INDEX(V546:AG546,1,MATCH(Parametres!$B$3,V$1:AG$1,0)-1)*IF(OR(C546="L",C546="S",C546="I"),-1,1),"")</f>
        <v>9</v>
      </c>
      <c r="AW546" s="899">
        <f t="shared" si="53"/>
        <v>0</v>
      </c>
      <c r="AX546" s="899">
        <f>INDEX(V546:AG546,1,MATCH(Parametres!$B$3,V$1:AG$1,0))*IF(OR(C546="L",C546="S",C546="I"),-1,1)</f>
        <v>9</v>
      </c>
      <c r="AY546" s="487" t="s">
        <v>337</v>
      </c>
      <c r="AZ546" s="487" t="str">
        <f>+VLOOKUP($AJ546,Data_Validation!$A:$E,5,0)</f>
        <v>Oui</v>
      </c>
    </row>
    <row r="547" spans="1:52" ht="15" hidden="1" customHeight="1">
      <c r="A547" s="706" t="s">
        <v>1148</v>
      </c>
      <c r="B547" s="706">
        <v>2025</v>
      </c>
      <c r="C547" s="706" t="s">
        <v>2310</v>
      </c>
      <c r="D547" s="706" t="s">
        <v>2311</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905" t="str">
        <f t="shared" si="54"/>
        <v>G42612</v>
      </c>
      <c r="AK547" s="905" t="str">
        <f t="shared" si="55"/>
        <v>VTES-BUICK ENVISION</v>
      </c>
      <c r="AL547" s="905">
        <f>IFERROR(INDEX(G547:R547,1,MATCH(Parametres!$B$3,G$1:R$1,0)-1)*IF(OR(F547="L",F547="S",F547="I"),-1,1),"")</f>
        <v>-419864.92</v>
      </c>
      <c r="AM547" s="905">
        <f t="shared" si="50"/>
        <v>-54477.5</v>
      </c>
      <c r="AN547" s="905">
        <f>INDEX(G547:R547,1,MATCH(Parametres!$B$3,G$1:R$1,0))*IF(OR(F547="L",F547="S",F547="I"),-1,1)</f>
        <v>-474342.42</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51"/>
        <v>G42612</v>
      </c>
      <c r="AU547" s="488" t="str">
        <f t="shared" si="52"/>
        <v>VTES-BUICK ENVISION</v>
      </c>
      <c r="AV547" s="899">
        <f>IFERROR(INDEX(V547:AG547,1,MATCH(Parametres!$B$3,V$1:AG$1,0)-1)*IF(OR(C547="L",C547="S",C547="I"),-1,1),"")</f>
        <v>9</v>
      </c>
      <c r="AW547" s="899">
        <f t="shared" si="53"/>
        <v>1</v>
      </c>
      <c r="AX547" s="899">
        <f>INDEX(V547:AG547,1,MATCH(Parametres!$B$3,V$1:AG$1,0))*IF(OR(C547="L",C547="S",C547="I"),-1,1)</f>
        <v>10</v>
      </c>
      <c r="AY547" s="487" t="s">
        <v>337</v>
      </c>
      <c r="AZ547" s="487" t="str">
        <f>+VLOOKUP($AJ547,Data_Validation!$A:$E,5,0)</f>
        <v>Oui</v>
      </c>
    </row>
    <row r="548" spans="1:52" ht="15" hidden="1" customHeight="1">
      <c r="A548" s="706" t="s">
        <v>1148</v>
      </c>
      <c r="B548" s="706">
        <v>2025</v>
      </c>
      <c r="C548" s="706" t="s">
        <v>2312</v>
      </c>
      <c r="D548" s="706" t="s">
        <v>2313</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905" t="str">
        <f t="shared" si="54"/>
        <v>G42613</v>
      </c>
      <c r="AK548" s="905" t="str">
        <f t="shared" si="55"/>
        <v>VTES-BUICK ENVISTA</v>
      </c>
      <c r="AL548" s="905">
        <f>IFERROR(INDEX(G548:R548,1,MATCH(Parametres!$B$3,G$1:R$1,0)-1)*IF(OR(F548="L",F548="S",F548="I"),-1,1),"")</f>
        <v>-531094.68999999994</v>
      </c>
      <c r="AM548" s="905">
        <f t="shared" si="50"/>
        <v>-103475</v>
      </c>
      <c r="AN548" s="905">
        <f>INDEX(G548:R548,1,MATCH(Parametres!$B$3,G$1:R$1,0))*IF(OR(F548="L",F548="S",F548="I"),-1,1)</f>
        <v>-634569.68999999994</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51"/>
        <v>G42613</v>
      </c>
      <c r="AU548" s="488" t="str">
        <f t="shared" si="52"/>
        <v>VTES-BUICK ENVISTA</v>
      </c>
      <c r="AV548" s="899">
        <f>IFERROR(INDEX(V548:AG548,1,MATCH(Parametres!$B$3,V$1:AG$1,0)-1)*IF(OR(C548="L",C548="S",C548="I"),-1,1),"")</f>
        <v>16</v>
      </c>
      <c r="AW548" s="899">
        <f t="shared" si="53"/>
        <v>3</v>
      </c>
      <c r="AX548" s="899">
        <f>INDEX(V548:AG548,1,MATCH(Parametres!$B$3,V$1:AG$1,0))*IF(OR(C548="L",C548="S",C548="I"),-1,1)</f>
        <v>19</v>
      </c>
      <c r="AY548" s="487" t="s">
        <v>337</v>
      </c>
      <c r="AZ548" s="487" t="str">
        <f>+VLOOKUP($AJ548,Data_Validation!$A:$E,5,0)</f>
        <v>Oui</v>
      </c>
    </row>
    <row r="549" spans="1:52" ht="15" customHeight="1">
      <c r="A549" s="706" t="s">
        <v>1148</v>
      </c>
      <c r="B549" s="706">
        <v>2025</v>
      </c>
      <c r="C549" s="706" t="s">
        <v>2314</v>
      </c>
      <c r="D549" s="706" t="s">
        <v>2315</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G42620</v>
      </c>
      <c r="AK549" s="905" t="str">
        <f t="shared" si="55"/>
        <v>VTES-SPICK/COLORDO   -LOC</v>
      </c>
      <c r="AL549" s="905">
        <f>IFERROR(INDEX(G549:R549,1,MATCH(Parametres!$B$3,G$1:R$1,0)-1)*IF(OR(F549="L",F549="S",F549="I"),-1,1),"")</f>
        <v>0</v>
      </c>
      <c r="AM549" s="905">
        <f t="shared" si="50"/>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51"/>
        <v>G42620</v>
      </c>
      <c r="AU549" s="488" t="str">
        <f t="shared" si="52"/>
        <v>VTES-SPICK/COLORDO   -LOC</v>
      </c>
      <c r="AV549" s="899">
        <f>IFERROR(INDEX(V549:AG549,1,MATCH(Parametres!$B$3,V$1:AG$1,0)-1)*IF(OR(C549="L",C549="S",C549="I"),-1,1),"")</f>
        <v>0</v>
      </c>
      <c r="AW549" s="899">
        <f t="shared" si="53"/>
        <v>0</v>
      </c>
      <c r="AX549" s="899">
        <f>INDEX(V549:AG549,1,MATCH(Parametres!$B$3,V$1:AG$1,0))*IF(OR(C549="L",C549="S",C549="I"),-1,1)</f>
        <v>0</v>
      </c>
      <c r="AY549" s="487" t="s">
        <v>337</v>
      </c>
      <c r="AZ549" s="487" t="e">
        <f>+VLOOKUP($AJ549,Data_Validation!$A:$E,5,0)</f>
        <v>#N/A</v>
      </c>
    </row>
    <row r="550" spans="1:52" ht="15" hidden="1" customHeight="1">
      <c r="A550" s="706" t="s">
        <v>1148</v>
      </c>
      <c r="B550" s="706">
        <v>2025</v>
      </c>
      <c r="C550" s="706" t="s">
        <v>2316</v>
      </c>
      <c r="D550" s="706" t="s">
        <v>2317</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905" t="str">
        <f t="shared" si="54"/>
        <v>G42700</v>
      </c>
      <c r="AK550" s="905" t="str">
        <f t="shared" si="55"/>
        <v>VTES-TRAVERSE</v>
      </c>
      <c r="AL550" s="905">
        <f>IFERROR(INDEX(G550:R550,1,MATCH(Parametres!$B$3,G$1:R$1,0)-1)*IF(OR(F550="L",F550="S",F550="I"),-1,1),"")</f>
        <v>-299290.40999999997</v>
      </c>
      <c r="AM550" s="905">
        <f t="shared" si="50"/>
        <v>0</v>
      </c>
      <c r="AN550" s="905">
        <f>INDEX(G550:R550,1,MATCH(Parametres!$B$3,G$1:R$1,0))*IF(OR(F550="L",F550="S",F550="I"),-1,1)</f>
        <v>-299290.40999999997</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51"/>
        <v>G42700</v>
      </c>
      <c r="AU550" s="488" t="str">
        <f t="shared" si="52"/>
        <v>VTES-TRAVERSE</v>
      </c>
      <c r="AV550" s="899">
        <f>IFERROR(INDEX(V550:AG550,1,MATCH(Parametres!$B$3,V$1:AG$1,0)-1)*IF(OR(C550="L",C550="S",C550="I"),-1,1),"")</f>
        <v>5</v>
      </c>
      <c r="AW550" s="899">
        <f t="shared" si="53"/>
        <v>0</v>
      </c>
      <c r="AX550" s="899">
        <f>INDEX(V550:AG550,1,MATCH(Parametres!$B$3,V$1:AG$1,0))*IF(OR(C550="L",C550="S",C550="I"),-1,1)</f>
        <v>5</v>
      </c>
      <c r="AY550" s="487" t="s">
        <v>337</v>
      </c>
      <c r="AZ550" s="487" t="str">
        <f>+VLOOKUP($AJ550,Data_Validation!$A:$E,5,0)</f>
        <v>Oui</v>
      </c>
    </row>
    <row r="551" spans="1:52" ht="15" hidden="1" customHeight="1">
      <c r="A551" s="706" t="s">
        <v>1148</v>
      </c>
      <c r="B551" s="706">
        <v>2025</v>
      </c>
      <c r="C551" s="706" t="s">
        <v>2318</v>
      </c>
      <c r="D551" s="706" t="s">
        <v>2319</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905" t="str">
        <f t="shared" si="54"/>
        <v>G42800</v>
      </c>
      <c r="AK551" s="905" t="str">
        <f t="shared" si="55"/>
        <v>VENTES BUICK ENCLAVE</v>
      </c>
      <c r="AL551" s="905">
        <f>IFERROR(INDEX(G551:R551,1,MATCH(Parametres!$B$3,G$1:R$1,0)-1)*IF(OR(F551="L",F551="S",F551="I"),-1,1),"")</f>
        <v>-131017.3</v>
      </c>
      <c r="AM551" s="905">
        <f t="shared" si="50"/>
        <v>-76524.499999999985</v>
      </c>
      <c r="AN551" s="905">
        <f>INDEX(G551:R551,1,MATCH(Parametres!$B$3,G$1:R$1,0))*IF(OR(F551="L",F551="S",F551="I"),-1,1)</f>
        <v>-207541.8</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51"/>
        <v>G42800</v>
      </c>
      <c r="AU551" s="488" t="str">
        <f t="shared" si="52"/>
        <v>VENTES BUICK ENCLAVE</v>
      </c>
      <c r="AV551" s="899">
        <f>IFERROR(INDEX(V551:AG551,1,MATCH(Parametres!$B$3,V$1:AG$1,0)-1)*IF(OR(C551="L",C551="S",C551="I"),-1,1),"")</f>
        <v>2</v>
      </c>
      <c r="AW551" s="899">
        <f t="shared" si="53"/>
        <v>1</v>
      </c>
      <c r="AX551" s="899">
        <f>INDEX(V551:AG551,1,MATCH(Parametres!$B$3,V$1:AG$1,0))*IF(OR(C551="L",C551="S",C551="I"),-1,1)</f>
        <v>3</v>
      </c>
      <c r="AY551" s="487" t="s">
        <v>337</v>
      </c>
      <c r="AZ551" s="487" t="str">
        <f>+VLOOKUP($AJ551,Data_Validation!$A:$E,5,0)</f>
        <v>Oui</v>
      </c>
    </row>
    <row r="552" spans="1:52" ht="15" hidden="1" customHeight="1">
      <c r="A552" s="706" t="s">
        <v>1148</v>
      </c>
      <c r="B552" s="706">
        <v>2025</v>
      </c>
      <c r="C552" s="706" t="s">
        <v>2320</v>
      </c>
      <c r="D552" s="706" t="s">
        <v>2321</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905" t="str">
        <f t="shared" si="54"/>
        <v>G42804</v>
      </c>
      <c r="AK552" s="905" t="str">
        <f t="shared" si="55"/>
        <v>VENTE BUICK ENCORE</v>
      </c>
      <c r="AL552" s="905">
        <f>IFERROR(INDEX(G552:R552,1,MATCH(Parametres!$B$3,G$1:R$1,0)-1)*IF(OR(F552="L",F552="S",F552="I"),-1,1),"")</f>
        <v>-220724.27</v>
      </c>
      <c r="AM552" s="905">
        <f t="shared" si="50"/>
        <v>0</v>
      </c>
      <c r="AN552" s="905">
        <f>INDEX(G552:R552,1,MATCH(Parametres!$B$3,G$1:R$1,0))*IF(OR(F552="L",F552="S",F552="I"),-1,1)</f>
        <v>-220724.27</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51"/>
        <v>G42804</v>
      </c>
      <c r="AU552" s="488" t="str">
        <f t="shared" si="52"/>
        <v>VENTE BUICK ENCORE</v>
      </c>
      <c r="AV552" s="899">
        <f>IFERROR(INDEX(V552:AG552,1,MATCH(Parametres!$B$3,V$1:AG$1,0)-1)*IF(OR(C552="L",C552="S",C552="I"),-1,1),"")</f>
        <v>6</v>
      </c>
      <c r="AW552" s="899">
        <f t="shared" si="53"/>
        <v>0</v>
      </c>
      <c r="AX552" s="899">
        <f>INDEX(V552:AG552,1,MATCH(Parametres!$B$3,V$1:AG$1,0))*IF(OR(C552="L",C552="S",C552="I"),-1,1)</f>
        <v>6</v>
      </c>
      <c r="AY552" s="487" t="s">
        <v>337</v>
      </c>
      <c r="AZ552" s="487" t="str">
        <f>+VLOOKUP($AJ552,Data_Validation!$A:$E,5,0)</f>
        <v>Oui</v>
      </c>
    </row>
    <row r="553" spans="1:52" ht="15" customHeight="1">
      <c r="A553" s="706" t="s">
        <v>1148</v>
      </c>
      <c r="B553" s="706">
        <v>2025</v>
      </c>
      <c r="C553" s="706" t="s">
        <v>2322</v>
      </c>
      <c r="D553" s="706" t="s">
        <v>2323</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G42820</v>
      </c>
      <c r="AK553" s="905" t="str">
        <f t="shared" si="55"/>
        <v>VTES-TRAIL BALSER/EXT-LOC</v>
      </c>
      <c r="AL553" s="905">
        <f>IFERROR(INDEX(G553:R553,1,MATCH(Parametres!$B$3,G$1:R$1,0)-1)*IF(OR(F553="L",F553="S",F553="I"),-1,1),"")</f>
        <v>0</v>
      </c>
      <c r="AM553" s="905">
        <f t="shared" si="50"/>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51"/>
        <v>G42820</v>
      </c>
      <c r="AU553" s="488" t="str">
        <f t="shared" si="52"/>
        <v>VTES-TRAIL BALSER/EXT-LOC</v>
      </c>
      <c r="AV553" s="899">
        <f>IFERROR(INDEX(V553:AG553,1,MATCH(Parametres!$B$3,V$1:AG$1,0)-1)*IF(OR(C553="L",C553="S",C553="I"),-1,1),"")</f>
        <v>0</v>
      </c>
      <c r="AW553" s="899">
        <f t="shared" si="53"/>
        <v>0</v>
      </c>
      <c r="AX553" s="899">
        <f>INDEX(V553:AG553,1,MATCH(Parametres!$B$3,V$1:AG$1,0))*IF(OR(C553="L",C553="S",C553="I"),-1,1)</f>
        <v>0</v>
      </c>
      <c r="AY553" s="487" t="s">
        <v>337</v>
      </c>
      <c r="AZ553" s="487" t="e">
        <f>+VLOOKUP($AJ553,Data_Validation!$A:$E,5,0)</f>
        <v>#N/A</v>
      </c>
    </row>
    <row r="554" spans="1:52" ht="15" hidden="1" customHeight="1">
      <c r="A554" s="706" t="s">
        <v>1148</v>
      </c>
      <c r="B554" s="706">
        <v>2025</v>
      </c>
      <c r="C554" s="706" t="s">
        <v>2324</v>
      </c>
      <c r="D554" s="706" t="s">
        <v>2325</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905" t="str">
        <f t="shared" si="54"/>
        <v>G42850</v>
      </c>
      <c r="AK554" s="905" t="str">
        <f t="shared" si="55"/>
        <v>VENTES CHEVROLET TRAX</v>
      </c>
      <c r="AL554" s="905">
        <f>IFERROR(INDEX(G554:R554,1,MATCH(Parametres!$B$3,G$1:R$1,0)-1)*IF(OR(F554="L",F554="S",F554="I"),-1,1),"")</f>
        <v>-1268871.22</v>
      </c>
      <c r="AM554" s="905">
        <f t="shared" si="50"/>
        <v>-293465.60000000009</v>
      </c>
      <c r="AN554" s="905">
        <f>INDEX(G554:R554,1,MATCH(Parametres!$B$3,G$1:R$1,0))*IF(OR(F554="L",F554="S",F554="I"),-1,1)</f>
        <v>-1562336.82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51"/>
        <v>G42850</v>
      </c>
      <c r="AU554" s="488" t="str">
        <f t="shared" si="52"/>
        <v>VENTES CHEVROLET TRAX</v>
      </c>
      <c r="AV554" s="899">
        <f>IFERROR(INDEX(V554:AG554,1,MATCH(Parametres!$B$3,V$1:AG$1,0)-1)*IF(OR(C554="L",C554="S",C554="I"),-1,1),"")</f>
        <v>41</v>
      </c>
      <c r="AW554" s="899">
        <f t="shared" si="53"/>
        <v>9</v>
      </c>
      <c r="AX554" s="899">
        <f>INDEX(V554:AG554,1,MATCH(Parametres!$B$3,V$1:AG$1,0))*IF(OR(C554="L",C554="S",C554="I"),-1,1)</f>
        <v>50</v>
      </c>
      <c r="AY554" s="487" t="s">
        <v>337</v>
      </c>
      <c r="AZ554" s="487" t="str">
        <f>+VLOOKUP($AJ554,Data_Validation!$A:$E,5,0)</f>
        <v>Oui</v>
      </c>
    </row>
    <row r="555" spans="1:52" ht="15" hidden="1" customHeight="1">
      <c r="A555" s="706" t="s">
        <v>1148</v>
      </c>
      <c r="B555" s="706">
        <v>2025</v>
      </c>
      <c r="C555" s="706" t="s">
        <v>2326</v>
      </c>
      <c r="D555" s="706" t="s">
        <v>2327</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905" t="str">
        <f t="shared" si="54"/>
        <v>G42900</v>
      </c>
      <c r="AK555" s="905" t="str">
        <f t="shared" si="55"/>
        <v>VTES-TAHOE/SUBURBAN</v>
      </c>
      <c r="AL555" s="905">
        <f>IFERROR(INDEX(G555:R555,1,MATCH(Parametres!$B$3,G$1:R$1,0)-1)*IF(OR(F555="L",F555="S",F555="I"),-1,1),"")</f>
        <v>-1607095.84</v>
      </c>
      <c r="AM555" s="905">
        <f t="shared" si="50"/>
        <v>-288469.01</v>
      </c>
      <c r="AN555" s="905">
        <f>INDEX(G555:R555,1,MATCH(Parametres!$B$3,G$1:R$1,0))*IF(OR(F555="L",F555="S",F555="I"),-1,1)</f>
        <v>-1895564.85</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51"/>
        <v>G42900</v>
      </c>
      <c r="AU555" s="488" t="str">
        <f t="shared" si="52"/>
        <v>VTES-TAHOE/SUBURBAN</v>
      </c>
      <c r="AV555" s="899">
        <f>IFERROR(INDEX(V555:AG555,1,MATCH(Parametres!$B$3,V$1:AG$1,0)-1)*IF(OR(C555="L",C555="S",C555="I"),-1,1),"")</f>
        <v>18</v>
      </c>
      <c r="AW555" s="899">
        <f t="shared" si="53"/>
        <v>3</v>
      </c>
      <c r="AX555" s="899">
        <f>INDEX(V555:AG555,1,MATCH(Parametres!$B$3,V$1:AG$1,0))*IF(OR(C555="L",C555="S",C555="I"),-1,1)</f>
        <v>21</v>
      </c>
      <c r="AY555" s="487" t="s">
        <v>337</v>
      </c>
      <c r="AZ555" s="487" t="str">
        <f>+VLOOKUP($AJ555,Data_Validation!$A:$E,5,0)</f>
        <v>Oui</v>
      </c>
    </row>
    <row r="556" spans="1:52" ht="15" hidden="1" customHeight="1">
      <c r="A556" s="706" t="s">
        <v>1148</v>
      </c>
      <c r="B556" s="706">
        <v>2025</v>
      </c>
      <c r="C556" s="706" t="s">
        <v>2328</v>
      </c>
      <c r="D556" s="706" t="s">
        <v>2329</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905" t="str">
        <f t="shared" si="54"/>
        <v>G43000</v>
      </c>
      <c r="AK556" s="905" t="str">
        <f t="shared" si="55"/>
        <v>VTES-CL 1500 SILVERADO</v>
      </c>
      <c r="AL556" s="905">
        <f>IFERROR(INDEX(G556:R556,1,MATCH(Parametres!$B$3,G$1:R$1,0)-1)*IF(OR(F556="L",F556="S",F556="I"),-1,1),"")</f>
        <v>-7209560.6500000004</v>
      </c>
      <c r="AM556" s="905">
        <f t="shared" si="50"/>
        <v>-373250.55999999959</v>
      </c>
      <c r="AN556" s="905">
        <f>INDEX(G556:R556,1,MATCH(Parametres!$B$3,G$1:R$1,0))*IF(OR(F556="L",F556="S",F556="I"),-1,1)</f>
        <v>-7582811.21</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51"/>
        <v>G43000</v>
      </c>
      <c r="AU556" s="488" t="str">
        <f t="shared" si="52"/>
        <v>VTES-CL 1500 SILVERADO</v>
      </c>
      <c r="AV556" s="899">
        <f>IFERROR(INDEX(V556:AG556,1,MATCH(Parametres!$B$3,V$1:AG$1,0)-1)*IF(OR(C556="L",C556="S",C556="I"),-1,1),"")</f>
        <v>101</v>
      </c>
      <c r="AW556" s="899">
        <f t="shared" si="53"/>
        <v>5</v>
      </c>
      <c r="AX556" s="899">
        <f>INDEX(V556:AG556,1,MATCH(Parametres!$B$3,V$1:AG$1,0))*IF(OR(C556="L",C556="S",C556="I"),-1,1)</f>
        <v>106</v>
      </c>
      <c r="AY556" s="487" t="s">
        <v>337</v>
      </c>
      <c r="AZ556" s="487" t="str">
        <f>+VLOOKUP($AJ556,Data_Validation!$A:$E,5,0)</f>
        <v>Oui</v>
      </c>
    </row>
    <row r="557" spans="1:52" ht="15" hidden="1" customHeight="1">
      <c r="A557" s="706" t="s">
        <v>1148</v>
      </c>
      <c r="B557" s="706">
        <v>2025</v>
      </c>
      <c r="C557" s="706" t="s">
        <v>2330</v>
      </c>
      <c r="D557" s="706" t="s">
        <v>2331</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905" t="str">
        <f t="shared" si="54"/>
        <v>G43001</v>
      </c>
      <c r="AK557" s="905" t="str">
        <f t="shared" si="55"/>
        <v>VTES - SILVERADO EV</v>
      </c>
      <c r="AL557" s="905">
        <f>IFERROR(INDEX(G557:R557,1,MATCH(Parametres!$B$3,G$1:R$1,0)-1)*IF(OR(F557="L",F557="S",F557="I"),-1,1),"")</f>
        <v>-532509.01</v>
      </c>
      <c r="AM557" s="905">
        <f t="shared" si="50"/>
        <v>-226242</v>
      </c>
      <c r="AN557" s="905">
        <f>INDEX(G557:R557,1,MATCH(Parametres!$B$3,G$1:R$1,0))*IF(OR(F557="L",F557="S",F557="I"),-1,1)</f>
        <v>-758751.01</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51"/>
        <v>G43001</v>
      </c>
      <c r="AU557" s="488" t="str">
        <f t="shared" si="52"/>
        <v>VTES - SILVERADO EV</v>
      </c>
      <c r="AV557" s="899">
        <f>IFERROR(INDEX(V557:AG557,1,MATCH(Parametres!$B$3,V$1:AG$1,0)-1)*IF(OR(C557="L",C557="S",C557="I"),-1,1),"")</f>
        <v>5</v>
      </c>
      <c r="AW557" s="899">
        <f t="shared" si="53"/>
        <v>2</v>
      </c>
      <c r="AX557" s="899">
        <f>INDEX(V557:AG557,1,MATCH(Parametres!$B$3,V$1:AG$1,0))*IF(OR(C557="L",C557="S",C557="I"),-1,1)</f>
        <v>7</v>
      </c>
      <c r="AY557" s="487" t="s">
        <v>337</v>
      </c>
      <c r="AZ557" s="487" t="str">
        <f>+VLOOKUP($AJ557,Data_Validation!$A:$E,5,0)</f>
        <v>Oui</v>
      </c>
    </row>
    <row r="558" spans="1:52" ht="15" hidden="1" customHeight="1">
      <c r="A558" s="706" t="s">
        <v>1148</v>
      </c>
      <c r="B558" s="706">
        <v>2025</v>
      </c>
      <c r="C558" s="706" t="s">
        <v>2332</v>
      </c>
      <c r="D558" s="706" t="s">
        <v>2333</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905" t="str">
        <f t="shared" si="54"/>
        <v>G43002</v>
      </c>
      <c r="AK558" s="905" t="str">
        <f t="shared" si="55"/>
        <v>VENTES - YUKON</v>
      </c>
      <c r="AL558" s="905">
        <f>IFERROR(INDEX(G558:R558,1,MATCH(Parametres!$B$3,G$1:R$1,0)-1)*IF(OR(F558="L",F558="S",F558="I"),-1,1),"")</f>
        <v>-1876617.82</v>
      </c>
      <c r="AM558" s="905">
        <f t="shared" si="50"/>
        <v>-413363.09999999986</v>
      </c>
      <c r="AN558" s="905">
        <f>INDEX(G558:R558,1,MATCH(Parametres!$B$3,G$1:R$1,0))*IF(OR(F558="L",F558="S",F558="I"),-1,1)</f>
        <v>-2289980.92</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51"/>
        <v>G43002</v>
      </c>
      <c r="AU558" s="488" t="str">
        <f t="shared" si="52"/>
        <v>VENTES - YUKON</v>
      </c>
      <c r="AV558" s="899">
        <f>IFERROR(INDEX(V558:AG558,1,MATCH(Parametres!$B$3,V$1:AG$1,0)-1)*IF(OR(C558="L",C558="S",C558="I"),-1,1),"")</f>
        <v>18</v>
      </c>
      <c r="AW558" s="899">
        <f t="shared" si="53"/>
        <v>4</v>
      </c>
      <c r="AX558" s="899">
        <f>INDEX(V558:AG558,1,MATCH(Parametres!$B$3,V$1:AG$1,0))*IF(OR(C558="L",C558="S",C558="I"),-1,1)</f>
        <v>22</v>
      </c>
      <c r="AY558" s="487" t="s">
        <v>337</v>
      </c>
      <c r="AZ558" s="487" t="str">
        <f>+VLOOKUP($AJ558,Data_Validation!$A:$E,5,0)</f>
        <v>Oui</v>
      </c>
    </row>
    <row r="559" spans="1:52" ht="15" customHeight="1">
      <c r="A559" s="706" t="s">
        <v>1148</v>
      </c>
      <c r="B559" s="706">
        <v>2025</v>
      </c>
      <c r="C559" s="706" t="s">
        <v>2334</v>
      </c>
      <c r="D559" s="706" t="s">
        <v>2335</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G43020</v>
      </c>
      <c r="AK559" s="905" t="str">
        <f t="shared" si="55"/>
        <v>CL 1500 SILVERADO    -LOC</v>
      </c>
      <c r="AL559" s="905">
        <f>IFERROR(INDEX(G559:R559,1,MATCH(Parametres!$B$3,G$1:R$1,0)-1)*IF(OR(F559="L",F559="S",F559="I"),-1,1),"")</f>
        <v>0</v>
      </c>
      <c r="AM559" s="905">
        <f t="shared" si="50"/>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51"/>
        <v>G43020</v>
      </c>
      <c r="AU559" s="488" t="str">
        <f t="shared" si="52"/>
        <v>CL 1500 SILVERADO    -LOC</v>
      </c>
      <c r="AV559" s="899">
        <f>IFERROR(INDEX(V559:AG559,1,MATCH(Parametres!$B$3,V$1:AG$1,0)-1)*IF(OR(C559="L",C559="S",C559="I"),-1,1),"")</f>
        <v>0</v>
      </c>
      <c r="AW559" s="899">
        <f t="shared" si="53"/>
        <v>0</v>
      </c>
      <c r="AX559" s="899">
        <f>INDEX(V559:AG559,1,MATCH(Parametres!$B$3,V$1:AG$1,0))*IF(OR(C559="L",C559="S",C559="I"),-1,1)</f>
        <v>0</v>
      </c>
      <c r="AY559" s="487" t="s">
        <v>337</v>
      </c>
      <c r="AZ559" s="487" t="e">
        <f>+VLOOKUP($AJ559,Data_Validation!$A:$E,5,0)</f>
        <v>#N/A</v>
      </c>
    </row>
    <row r="560" spans="1:52" ht="15" hidden="1" customHeight="1">
      <c r="A560" s="706" t="s">
        <v>1148</v>
      </c>
      <c r="B560" s="706">
        <v>2025</v>
      </c>
      <c r="C560" s="706" t="s">
        <v>2336</v>
      </c>
      <c r="D560" s="706" t="s">
        <v>2337</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905" t="str">
        <f t="shared" si="54"/>
        <v>G43100</v>
      </c>
      <c r="AK560" s="905" t="str">
        <f t="shared" si="55"/>
        <v>VTES-CL 2500 SILVERADO</v>
      </c>
      <c r="AL560" s="905">
        <f>IFERROR(INDEX(G560:R560,1,MATCH(Parametres!$B$3,G$1:R$1,0)-1)*IF(OR(F560="L",F560="S",F560="I"),-1,1),"")</f>
        <v>-2824032.92</v>
      </c>
      <c r="AM560" s="905">
        <f t="shared" si="50"/>
        <v>-97739</v>
      </c>
      <c r="AN560" s="905">
        <f>INDEX(G560:R560,1,MATCH(Parametres!$B$3,G$1:R$1,0))*IF(OR(F560="L",F560="S",F560="I"),-1,1)</f>
        <v>-2921771.92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51"/>
        <v>G43100</v>
      </c>
      <c r="AU560" s="488" t="str">
        <f t="shared" si="52"/>
        <v>VTES-CL 2500 SILVERADO</v>
      </c>
      <c r="AV560" s="899">
        <f>IFERROR(INDEX(V560:AG560,1,MATCH(Parametres!$B$3,V$1:AG$1,0)-1)*IF(OR(C560="L",C560="S",C560="I"),-1,1),"")</f>
        <v>29</v>
      </c>
      <c r="AW560" s="899">
        <f t="shared" si="53"/>
        <v>1</v>
      </c>
      <c r="AX560" s="899">
        <f>INDEX(V560:AG560,1,MATCH(Parametres!$B$3,V$1:AG$1,0))*IF(OR(C560="L",C560="S",C560="I"),-1,1)</f>
        <v>30</v>
      </c>
      <c r="AY560" s="487" t="s">
        <v>337</v>
      </c>
      <c r="AZ560" s="487" t="str">
        <f>+VLOOKUP($AJ560,Data_Validation!$A:$E,5,0)</f>
        <v>Oui</v>
      </c>
    </row>
    <row r="561" spans="1:52" ht="15" hidden="1" customHeight="1">
      <c r="A561" s="706" t="s">
        <v>1148</v>
      </c>
      <c r="B561" s="706">
        <v>2025</v>
      </c>
      <c r="C561" s="706" t="s">
        <v>2338</v>
      </c>
      <c r="D561" s="706" t="s">
        <v>2339</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905" t="str">
        <f t="shared" si="54"/>
        <v>G43102</v>
      </c>
      <c r="AK561" s="905" t="str">
        <f t="shared" si="55"/>
        <v>VENTE CL 1500 SIERRA</v>
      </c>
      <c r="AL561" s="905">
        <f>IFERROR(INDEX(G561:R561,1,MATCH(Parametres!$B$3,G$1:R$1,0)-1)*IF(OR(F561="L",F561="S",F561="I"),-1,1),"")</f>
        <v>-6136788.9900000002</v>
      </c>
      <c r="AM561" s="905">
        <f t="shared" si="50"/>
        <v>-662237.88999999966</v>
      </c>
      <c r="AN561" s="905">
        <f>INDEX(G561:R561,1,MATCH(Parametres!$B$3,G$1:R$1,0))*IF(OR(F561="L",F561="S",F561="I"),-1,1)</f>
        <v>-6799026.8799999999</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51"/>
        <v>G43102</v>
      </c>
      <c r="AU561" s="488" t="str">
        <f t="shared" si="52"/>
        <v>VENTE CL 1500 SIERRA</v>
      </c>
      <c r="AV561" s="899">
        <f>IFERROR(INDEX(V561:AG561,1,MATCH(Parametres!$B$3,V$1:AG$1,0)-1)*IF(OR(C561="L",C561="S",C561="I"),-1,1),"")</f>
        <v>80</v>
      </c>
      <c r="AW561" s="899">
        <f t="shared" si="53"/>
        <v>8</v>
      </c>
      <c r="AX561" s="899">
        <f>INDEX(V561:AG561,1,MATCH(Parametres!$B$3,V$1:AG$1,0))*IF(OR(C561="L",C561="S",C561="I"),-1,1)</f>
        <v>88</v>
      </c>
      <c r="AY561" s="487" t="s">
        <v>337</v>
      </c>
      <c r="AZ561" s="487" t="str">
        <f>+VLOOKUP($AJ561,Data_Validation!$A:$E,5,0)</f>
        <v>Oui</v>
      </c>
    </row>
    <row r="562" spans="1:52" ht="15" hidden="1" customHeight="1">
      <c r="A562" s="706" t="s">
        <v>1148</v>
      </c>
      <c r="B562" s="706">
        <v>2025</v>
      </c>
      <c r="C562" s="706" t="s">
        <v>2340</v>
      </c>
      <c r="D562" s="706" t="s">
        <v>2341</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905" t="str">
        <f t="shared" si="54"/>
        <v>G43103</v>
      </c>
      <c r="AK562" s="905" t="str">
        <f t="shared" si="55"/>
        <v>VENTE - SIERRA EV</v>
      </c>
      <c r="AL562" s="905">
        <f>IFERROR(INDEX(G562:R562,1,MATCH(Parametres!$B$3,G$1:R$1,0)-1)*IF(OR(F562="L",F562="S",F562="I"),-1,1),"")</f>
        <v>-1230858.81</v>
      </c>
      <c r="AM562" s="905">
        <f t="shared" si="50"/>
        <v>-111177.5</v>
      </c>
      <c r="AN562" s="905">
        <f>INDEX(G562:R562,1,MATCH(Parametres!$B$3,G$1:R$1,0))*IF(OR(F562="L",F562="S",F562="I"),-1,1)</f>
        <v>-1342036.31</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51"/>
        <v>G43103</v>
      </c>
      <c r="AU562" s="488" t="str">
        <f t="shared" si="52"/>
        <v>VENTE - SIERRA EV</v>
      </c>
      <c r="AV562" s="899">
        <f>IFERROR(INDEX(V562:AG562,1,MATCH(Parametres!$B$3,V$1:AG$1,0)-1)*IF(OR(C562="L",C562="S",C562="I"),-1,1),"")</f>
        <v>11</v>
      </c>
      <c r="AW562" s="899">
        <f t="shared" si="53"/>
        <v>1</v>
      </c>
      <c r="AX562" s="899">
        <f>INDEX(V562:AG562,1,MATCH(Parametres!$B$3,V$1:AG$1,0))*IF(OR(C562="L",C562="S",C562="I"),-1,1)</f>
        <v>12</v>
      </c>
      <c r="AY562" s="487" t="s">
        <v>337</v>
      </c>
      <c r="AZ562" s="487" t="str">
        <f>+VLOOKUP($AJ562,Data_Validation!$A:$E,5,0)</f>
        <v>Oui</v>
      </c>
    </row>
    <row r="563" spans="1:52" ht="15" customHeight="1">
      <c r="A563" s="706" t="s">
        <v>1148</v>
      </c>
      <c r="B563" s="706">
        <v>2025</v>
      </c>
      <c r="C563" s="706" t="s">
        <v>2342</v>
      </c>
      <c r="D563" s="706" t="s">
        <v>2343</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G43120</v>
      </c>
      <c r="AK563" s="905" t="str">
        <f t="shared" si="55"/>
        <v>VTES-CL 2500 SILVERAD-LOC</v>
      </c>
      <c r="AL563" s="905">
        <f>IFERROR(INDEX(G563:R563,1,MATCH(Parametres!$B$3,G$1:R$1,0)-1)*IF(OR(F563="L",F563="S",F563="I"),-1,1),"")</f>
        <v>0</v>
      </c>
      <c r="AM563" s="905">
        <f t="shared" si="50"/>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G43120</v>
      </c>
      <c r="AU563" s="488" t="str">
        <f t="shared" si="52"/>
        <v>VTES-CL 2500 SILVERAD-LOC</v>
      </c>
      <c r="AV563" s="899">
        <f>IFERROR(INDEX(V563:AG563,1,MATCH(Parametres!$B$3,V$1:AG$1,0)-1)*IF(OR(C563="L",C563="S",C563="I"),-1,1),"")</f>
        <v>0</v>
      </c>
      <c r="AW563" s="899">
        <f t="shared" si="53"/>
        <v>0</v>
      </c>
      <c r="AX563" s="899">
        <f>INDEX(V563:AG563,1,MATCH(Parametres!$B$3,V$1:AG$1,0))*IF(OR(C563="L",C563="S",C563="I"),-1,1)</f>
        <v>0</v>
      </c>
      <c r="AY563" s="487" t="s">
        <v>337</v>
      </c>
      <c r="AZ563" s="487" t="e">
        <f>+VLOOKUP($AJ563,Data_Validation!$A:$E,5,0)</f>
        <v>#N/A</v>
      </c>
    </row>
    <row r="564" spans="1:52" ht="15" hidden="1" customHeight="1">
      <c r="A564" s="706" t="s">
        <v>1148</v>
      </c>
      <c r="B564" s="706">
        <v>2025</v>
      </c>
      <c r="C564" s="706" t="s">
        <v>2344</v>
      </c>
      <c r="D564" s="706" t="s">
        <v>2345</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905" t="str">
        <f t="shared" si="54"/>
        <v>G43200</v>
      </c>
      <c r="AK564" s="905" t="str">
        <f t="shared" si="55"/>
        <v>VTES-CL 3500 SILVERADO</v>
      </c>
      <c r="AL564" s="905">
        <f>IFERROR(INDEX(G564:R564,1,MATCH(Parametres!$B$3,G$1:R$1,0)-1)*IF(OR(F564="L",F564="S",F564="I"),-1,1),"")</f>
        <v>-92577.91</v>
      </c>
      <c r="AM564" s="905">
        <f t="shared" si="50"/>
        <v>0</v>
      </c>
      <c r="AN564" s="905">
        <f>INDEX(G564:R564,1,MATCH(Parametres!$B$3,G$1:R$1,0))*IF(OR(F564="L",F564="S",F564="I"),-1,1)</f>
        <v>-92577.91</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51"/>
        <v>G43200</v>
      </c>
      <c r="AU564" s="488" t="str">
        <f t="shared" si="52"/>
        <v>VTES-CL 3500 SILVERADO</v>
      </c>
      <c r="AV564" s="899">
        <f>IFERROR(INDEX(V564:AG564,1,MATCH(Parametres!$B$3,V$1:AG$1,0)-1)*IF(OR(C564="L",C564="S",C564="I"),-1,1),"")</f>
        <v>1</v>
      </c>
      <c r="AW564" s="899">
        <f t="shared" si="53"/>
        <v>0</v>
      </c>
      <c r="AX564" s="899">
        <f>INDEX(V564:AG564,1,MATCH(Parametres!$B$3,V$1:AG$1,0))*IF(OR(C564="L",C564="S",C564="I"),-1,1)</f>
        <v>1</v>
      </c>
      <c r="AY564" s="487" t="s">
        <v>337</v>
      </c>
      <c r="AZ564" s="487" t="str">
        <f>+VLOOKUP($AJ564,Data_Validation!$A:$E,5,0)</f>
        <v>Oui</v>
      </c>
    </row>
    <row r="565" spans="1:52" ht="15" hidden="1" customHeight="1">
      <c r="A565" s="706" t="s">
        <v>1148</v>
      </c>
      <c r="B565" s="706">
        <v>2025</v>
      </c>
      <c r="C565" s="706" t="s">
        <v>2346</v>
      </c>
      <c r="D565" s="706" t="s">
        <v>2347</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905" t="str">
        <f t="shared" si="54"/>
        <v>G43202</v>
      </c>
      <c r="AK565" s="905" t="str">
        <f t="shared" si="55"/>
        <v>VENTES - CL2500 SIERRA</v>
      </c>
      <c r="AL565" s="905">
        <f>IFERROR(INDEX(G565:R565,1,MATCH(Parametres!$B$3,G$1:R$1,0)-1)*IF(OR(F565="L",F565="S",F565="I"),-1,1),"")</f>
        <v>-3858902.61</v>
      </c>
      <c r="AM565" s="905">
        <f t="shared" si="50"/>
        <v>-462334.00000000047</v>
      </c>
      <c r="AN565" s="905">
        <f>INDEX(G565:R565,1,MATCH(Parametres!$B$3,G$1:R$1,0))*IF(OR(F565="L",F565="S",F565="I"),-1,1)</f>
        <v>-4321236.6100000003</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51"/>
        <v>G43202</v>
      </c>
      <c r="AU565" s="488" t="str">
        <f t="shared" si="52"/>
        <v>VENTES - CL2500 SIERRA</v>
      </c>
      <c r="AV565" s="899">
        <f>IFERROR(INDEX(V565:AG565,1,MATCH(Parametres!$B$3,V$1:AG$1,0)-1)*IF(OR(C565="L",C565="S",C565="I"),-1,1),"")</f>
        <v>35</v>
      </c>
      <c r="AW565" s="899">
        <f t="shared" si="53"/>
        <v>4</v>
      </c>
      <c r="AX565" s="899">
        <f>INDEX(V565:AG565,1,MATCH(Parametres!$B$3,V$1:AG$1,0))*IF(OR(C565="L",C565="S",C565="I"),-1,1)</f>
        <v>39</v>
      </c>
      <c r="AY565" s="487" t="s">
        <v>337</v>
      </c>
      <c r="AZ565" s="487" t="str">
        <f>+VLOOKUP($AJ565,Data_Validation!$A:$E,5,0)</f>
        <v>Oui</v>
      </c>
    </row>
    <row r="566" spans="1:52" ht="15" hidden="1" customHeight="1">
      <c r="A566" s="706" t="s">
        <v>1148</v>
      </c>
      <c r="B566" s="706">
        <v>2025</v>
      </c>
      <c r="C566" s="706" t="s">
        <v>2348</v>
      </c>
      <c r="D566" s="706" t="s">
        <v>2349</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G43203</v>
      </c>
      <c r="AK566" s="905" t="str">
        <f t="shared" si="55"/>
        <v>VENTES - SIERRA 3500</v>
      </c>
      <c r="AL566" s="905">
        <f>IFERROR(INDEX(G566:R566,1,MATCH(Parametres!$B$3,G$1:R$1,0)-1)*IF(OR(F566="L",F566="S",F566="I"),-1,1),"")</f>
        <v>0</v>
      </c>
      <c r="AM566" s="905">
        <f t="shared" si="50"/>
        <v>0</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51"/>
        <v>G43203</v>
      </c>
      <c r="AU566" s="488" t="str">
        <f t="shared" si="52"/>
        <v>VENTES - SIERRA 3500</v>
      </c>
      <c r="AV566" s="899">
        <f>IFERROR(INDEX(V566:AG566,1,MATCH(Parametres!$B$3,V$1:AG$1,0)-1)*IF(OR(C566="L",C566="S",C566="I"),-1,1),"")</f>
        <v>0</v>
      </c>
      <c r="AW566" s="899">
        <f t="shared" si="53"/>
        <v>0</v>
      </c>
      <c r="AX566" s="899">
        <f>INDEX(V566:AG566,1,MATCH(Parametres!$B$3,V$1:AG$1,0))*IF(OR(C566="L",C566="S",C566="I"),-1,1)</f>
        <v>0</v>
      </c>
      <c r="AY566" s="487" t="s">
        <v>337</v>
      </c>
      <c r="AZ566" s="487" t="str">
        <f>+VLOOKUP($AJ566,Data_Validation!$A:$E,5,0)</f>
        <v>Oui</v>
      </c>
    </row>
    <row r="567" spans="1:52" ht="15" hidden="1" customHeight="1">
      <c r="A567" s="706" t="s">
        <v>1148</v>
      </c>
      <c r="B567" s="706">
        <v>2025</v>
      </c>
      <c r="C567" s="706" t="s">
        <v>2350</v>
      </c>
      <c r="D567" s="706" t="s">
        <v>2351</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G43300</v>
      </c>
      <c r="AK567" s="905" t="str">
        <f t="shared" si="55"/>
        <v>VENTES BLAZER</v>
      </c>
      <c r="AL567" s="905">
        <f>IFERROR(INDEX(G567:R567,1,MATCH(Parametres!$B$3,G$1:R$1,0)-1)*IF(OR(F567="L",F567="S",F567="I"),-1,1),"")</f>
        <v>0</v>
      </c>
      <c r="AM567" s="905">
        <f t="shared" si="50"/>
        <v>0</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51"/>
        <v>G43300</v>
      </c>
      <c r="AU567" s="488" t="str">
        <f t="shared" si="52"/>
        <v>VENTES BLAZER</v>
      </c>
      <c r="AV567" s="899">
        <f>IFERROR(INDEX(V567:AG567,1,MATCH(Parametres!$B$3,V$1:AG$1,0)-1)*IF(OR(C567="L",C567="S",C567="I"),-1,1),"")</f>
        <v>0</v>
      </c>
      <c r="AW567" s="899">
        <f t="shared" si="53"/>
        <v>0</v>
      </c>
      <c r="AX567" s="899">
        <f>INDEX(V567:AG567,1,MATCH(Parametres!$B$3,V$1:AG$1,0))*IF(OR(C567="L",C567="S",C567="I"),-1,1)</f>
        <v>0</v>
      </c>
      <c r="AY567" s="487" t="s">
        <v>337</v>
      </c>
      <c r="AZ567" s="487" t="str">
        <f>+VLOOKUP($AJ567,Data_Validation!$A:$E,5,0)</f>
        <v>Oui</v>
      </c>
    </row>
    <row r="568" spans="1:52" ht="15" hidden="1" customHeight="1">
      <c r="A568" s="706" t="s">
        <v>1148</v>
      </c>
      <c r="B568" s="706">
        <v>2025</v>
      </c>
      <c r="C568" s="706" t="s">
        <v>2352</v>
      </c>
      <c r="D568" s="706" t="s">
        <v>2353</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905" t="str">
        <f t="shared" si="54"/>
        <v>G43301</v>
      </c>
      <c r="AK568" s="905" t="str">
        <f t="shared" si="55"/>
        <v>VENTES BLAZER EV</v>
      </c>
      <c r="AL568" s="905">
        <f>IFERROR(INDEX(G568:R568,1,MATCH(Parametres!$B$3,G$1:R$1,0)-1)*IF(OR(F568="L",F568="S",F568="I"),-1,1),"")</f>
        <v>-584186.07999999996</v>
      </c>
      <c r="AM568" s="905">
        <f t="shared" si="50"/>
        <v>-59775.5</v>
      </c>
      <c r="AN568" s="905">
        <f>INDEX(G568:R568,1,MATCH(Parametres!$B$3,G$1:R$1,0))*IF(OR(F568="L",F568="S",F568="I"),-1,1)</f>
        <v>-643961.57999999996</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51"/>
        <v>G43301</v>
      </c>
      <c r="AU568" s="488" t="str">
        <f t="shared" si="52"/>
        <v>VENTES BLAZER EV</v>
      </c>
      <c r="AV568" s="899">
        <f>IFERROR(INDEX(V568:AG568,1,MATCH(Parametres!$B$3,V$1:AG$1,0)-1)*IF(OR(C568="L",C568="S",C568="I"),-1,1),"")</f>
        <v>9</v>
      </c>
      <c r="AW568" s="899">
        <f t="shared" si="53"/>
        <v>1</v>
      </c>
      <c r="AX568" s="899">
        <f>INDEX(V568:AG568,1,MATCH(Parametres!$B$3,V$1:AG$1,0))*IF(OR(C568="L",C568="S",C568="I"),-1,1)</f>
        <v>10</v>
      </c>
      <c r="AY568" s="487" t="s">
        <v>337</v>
      </c>
      <c r="AZ568" s="487" t="str">
        <f>+VLOOKUP($AJ568,Data_Validation!$A:$E,5,0)</f>
        <v>Oui</v>
      </c>
    </row>
    <row r="569" spans="1:52" ht="15" customHeight="1">
      <c r="A569" s="706" t="s">
        <v>1148</v>
      </c>
      <c r="B569" s="706">
        <v>2025</v>
      </c>
      <c r="C569" s="706" t="s">
        <v>2354</v>
      </c>
      <c r="D569" s="706" t="s">
        <v>2355</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G43320</v>
      </c>
      <c r="AK569" s="905" t="str">
        <f t="shared" si="55"/>
        <v>VTES-AVALANCHE       -LOC</v>
      </c>
      <c r="AL569" s="905">
        <f>IFERROR(INDEX(G569:R569,1,MATCH(Parametres!$B$3,G$1:R$1,0)-1)*IF(OR(F569="L",F569="S",F569="I"),-1,1),"")</f>
        <v>0</v>
      </c>
      <c r="AM569" s="905">
        <f t="shared" si="50"/>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51"/>
        <v>G43320</v>
      </c>
      <c r="AU569" s="488" t="str">
        <f t="shared" si="52"/>
        <v>VTES-AVALANCHE       -LOC</v>
      </c>
      <c r="AV569" s="899">
        <f>IFERROR(INDEX(V569:AG569,1,MATCH(Parametres!$B$3,V$1:AG$1,0)-1)*IF(OR(C569="L",C569="S",C569="I"),-1,1),"")</f>
        <v>0</v>
      </c>
      <c r="AW569" s="899">
        <f t="shared" si="53"/>
        <v>0</v>
      </c>
      <c r="AX569" s="899">
        <f>INDEX(V569:AG569,1,MATCH(Parametres!$B$3,V$1:AG$1,0))*IF(OR(C569="L",C569="S",C569="I"),-1,1)</f>
        <v>0</v>
      </c>
      <c r="AY569" s="487" t="s">
        <v>337</v>
      </c>
      <c r="AZ569" s="487" t="e">
        <f>+VLOOKUP($AJ569,Data_Validation!$A:$E,5,0)</f>
        <v>#N/A</v>
      </c>
    </row>
    <row r="570" spans="1:52" ht="15" hidden="1" customHeight="1">
      <c r="A570" s="706" t="s">
        <v>1148</v>
      </c>
      <c r="B570" s="706">
        <v>2025</v>
      </c>
      <c r="C570" s="706" t="s">
        <v>2356</v>
      </c>
      <c r="D570" s="706" t="s">
        <v>2357</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905" t="str">
        <f t="shared" si="54"/>
        <v>G43400</v>
      </c>
      <c r="AK570" s="905" t="str">
        <f t="shared" si="55"/>
        <v>VENTES EQUINOX</v>
      </c>
      <c r="AL570" s="905">
        <f>IFERROR(INDEX(G570:R570,1,MATCH(Parametres!$B$3,G$1:R$1,0)-1)*IF(OR(F570="L",F570="S",F570="I"),-1,1),"")</f>
        <v>-658852.30000000005</v>
      </c>
      <c r="AM570" s="905">
        <f t="shared" si="50"/>
        <v>-353051.47</v>
      </c>
      <c r="AN570" s="905">
        <f>INDEX(G570:R570,1,MATCH(Parametres!$B$3,G$1:R$1,0))*IF(OR(F570="L",F570="S",F570="I"),-1,1)</f>
        <v>-1011903.77</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51"/>
        <v>G43400</v>
      </c>
      <c r="AU570" s="488" t="str">
        <f t="shared" si="52"/>
        <v>VENTES EQUINOX</v>
      </c>
      <c r="AV570" s="899">
        <f>IFERROR(INDEX(V570:AG570,1,MATCH(Parametres!$B$3,V$1:AG$1,0)-1)*IF(OR(C570="L",C570="S",C570="I"),-1,1),"")</f>
        <v>16</v>
      </c>
      <c r="AW570" s="899">
        <f t="shared" si="53"/>
        <v>8</v>
      </c>
      <c r="AX570" s="899">
        <f>INDEX(V570:AG570,1,MATCH(Parametres!$B$3,V$1:AG$1,0))*IF(OR(C570="L",C570="S",C570="I"),-1,1)</f>
        <v>24</v>
      </c>
      <c r="AY570" s="487" t="s">
        <v>337</v>
      </c>
      <c r="AZ570" s="487" t="str">
        <f>+VLOOKUP($AJ570,Data_Validation!$A:$E,5,0)</f>
        <v>Oui</v>
      </c>
    </row>
    <row r="571" spans="1:52" ht="15" hidden="1" customHeight="1">
      <c r="A571" s="706" t="s">
        <v>1148</v>
      </c>
      <c r="B571" s="706">
        <v>2025</v>
      </c>
      <c r="C571" s="706" t="s">
        <v>2358</v>
      </c>
      <c r="D571" s="706" t="s">
        <v>2359</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905" t="str">
        <f t="shared" si="54"/>
        <v>G43401</v>
      </c>
      <c r="AK571" s="905" t="str">
        <f t="shared" si="55"/>
        <v>VTES - EQUINOX EV</v>
      </c>
      <c r="AL571" s="905">
        <f>IFERROR(INDEX(G571:R571,1,MATCH(Parametres!$B$3,G$1:R$1,0)-1)*IF(OR(F571="L",F571="S",F571="I"),-1,1),"")</f>
        <v>-6547112.71</v>
      </c>
      <c r="AM571" s="905">
        <f t="shared" si="50"/>
        <v>-401686.87999999989</v>
      </c>
      <c r="AN571" s="905">
        <f>INDEX(G571:R571,1,MATCH(Parametres!$B$3,G$1:R$1,0))*IF(OR(F571="L",F571="S",F571="I"),-1,1)</f>
        <v>-6948799.5899999999</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51"/>
        <v>G43401</v>
      </c>
      <c r="AU571" s="488" t="str">
        <f t="shared" si="52"/>
        <v>VTES - EQUINOX EV</v>
      </c>
      <c r="AV571" s="899">
        <f>IFERROR(INDEX(V571:AG571,1,MATCH(Parametres!$B$3,V$1:AG$1,0)-1)*IF(OR(C571="L",C571="S",C571="I"),-1,1),"")</f>
        <v>124</v>
      </c>
      <c r="AW571" s="899">
        <f t="shared" si="53"/>
        <v>7</v>
      </c>
      <c r="AX571" s="899">
        <f>INDEX(V571:AG571,1,MATCH(Parametres!$B$3,V$1:AG$1,0))*IF(OR(C571="L",C571="S",C571="I"),-1,1)</f>
        <v>131</v>
      </c>
      <c r="AY571" s="487" t="s">
        <v>337</v>
      </c>
      <c r="AZ571" s="487" t="str">
        <f>+VLOOKUP($AJ571,Data_Validation!$A:$E,5,0)</f>
        <v>Oui</v>
      </c>
    </row>
    <row r="572" spans="1:52" ht="15" customHeight="1">
      <c r="A572" s="706" t="s">
        <v>1148</v>
      </c>
      <c r="B572" s="706">
        <v>2025</v>
      </c>
      <c r="C572" s="706" t="s">
        <v>2360</v>
      </c>
      <c r="D572" s="706" t="s">
        <v>2361</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G43420</v>
      </c>
      <c r="AK572" s="905" t="str">
        <f t="shared" si="55"/>
        <v>VTES-TRACKER         -LOC</v>
      </c>
      <c r="AL572" s="905">
        <f>IFERROR(INDEX(G572:R572,1,MATCH(Parametres!$B$3,G$1:R$1,0)-1)*IF(OR(F572="L",F572="S",F572="I"),-1,1),"")</f>
        <v>0</v>
      </c>
      <c r="AM572" s="905">
        <f t="shared" si="50"/>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G43420</v>
      </c>
      <c r="AU572" s="488" t="str">
        <f t="shared" si="52"/>
        <v>VTES-TRACKER         -LOC</v>
      </c>
      <c r="AV572" s="899">
        <f>IFERROR(INDEX(V572:AG572,1,MATCH(Parametres!$B$3,V$1:AG$1,0)-1)*IF(OR(C572="L",C572="S",C572="I"),-1,1),"")</f>
        <v>0</v>
      </c>
      <c r="AW572" s="899">
        <f t="shared" si="53"/>
        <v>0</v>
      </c>
      <c r="AX572" s="899">
        <f>INDEX(V572:AG572,1,MATCH(Parametres!$B$3,V$1:AG$1,0))*IF(OR(C572="L",C572="S",C572="I"),-1,1)</f>
        <v>0</v>
      </c>
      <c r="AY572" s="487" t="s">
        <v>337</v>
      </c>
      <c r="AZ572" s="487" t="e">
        <f>+VLOOKUP($AJ572,Data_Validation!$A:$E,5,0)</f>
        <v>#N/A</v>
      </c>
    </row>
    <row r="573" spans="1:52" ht="15" hidden="1" customHeight="1">
      <c r="A573" s="706" t="s">
        <v>1148</v>
      </c>
      <c r="B573" s="706">
        <v>2025</v>
      </c>
      <c r="C573" s="706" t="s">
        <v>2362</v>
      </c>
      <c r="D573" s="706" t="s">
        <v>2363</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905" t="str">
        <f t="shared" si="54"/>
        <v>G43500</v>
      </c>
      <c r="AK573" s="905" t="str">
        <f t="shared" si="55"/>
        <v>VENTES CHEV CITY</v>
      </c>
      <c r="AL573" s="905">
        <f>IFERROR(INDEX(G573:R573,1,MATCH(Parametres!$B$3,G$1:R$1,0)-1)*IF(OR(F573="L",F573="S",F573="I"),-1,1),"")</f>
        <v>0</v>
      </c>
      <c r="AM573" s="905">
        <f t="shared" si="50"/>
        <v>0</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51"/>
        <v>G43500</v>
      </c>
      <c r="AU573" s="488" t="str">
        <f t="shared" si="52"/>
        <v>VENTES CHEV CITY</v>
      </c>
      <c r="AV573" s="899">
        <f>IFERROR(INDEX(V573:AG573,1,MATCH(Parametres!$B$3,V$1:AG$1,0)-1)*IF(OR(C573="L",C573="S",C573="I"),-1,1),"")</f>
        <v>0</v>
      </c>
      <c r="AW573" s="899">
        <f t="shared" si="53"/>
        <v>0</v>
      </c>
      <c r="AX573" s="899">
        <f>INDEX(V573:AG573,1,MATCH(Parametres!$B$3,V$1:AG$1,0))*IF(OR(C573="L",C573="S",C573="I"),-1,1)</f>
        <v>0</v>
      </c>
      <c r="AY573" s="487" t="s">
        <v>337</v>
      </c>
      <c r="AZ573" s="487" t="str">
        <f>+VLOOKUP($AJ573,Data_Validation!$A:$E,5,0)</f>
        <v>Oui</v>
      </c>
    </row>
    <row r="574" spans="1:52" ht="15" hidden="1" customHeight="1">
      <c r="A574" s="706" t="s">
        <v>1148</v>
      </c>
      <c r="B574" s="706">
        <v>2025</v>
      </c>
      <c r="C574" s="706" t="s">
        <v>2364</v>
      </c>
      <c r="D574" s="706" t="s">
        <v>2365</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905" t="str">
        <f t="shared" si="54"/>
        <v>G43501</v>
      </c>
      <c r="AK574" s="905" t="str">
        <f t="shared" si="55"/>
        <v>VTES - HUMMER EV SUV</v>
      </c>
      <c r="AL574" s="905">
        <f>IFERROR(INDEX(G574:R574,1,MATCH(Parametres!$B$3,G$1:R$1,0)-1)*IF(OR(F574="L",F574="S",F574="I"),-1,1),"")</f>
        <v>-722544.55</v>
      </c>
      <c r="AM574" s="905">
        <f t="shared" si="50"/>
        <v>0</v>
      </c>
      <c r="AN574" s="905">
        <f>INDEX(G574:R574,1,MATCH(Parametres!$B$3,G$1:R$1,0))*IF(OR(F574="L",F574="S",F574="I"),-1,1)</f>
        <v>-722544.55</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51"/>
        <v>G43501</v>
      </c>
      <c r="AU574" s="488" t="str">
        <f t="shared" si="52"/>
        <v>VTES - HUMMER EV SUV</v>
      </c>
      <c r="AV574" s="899">
        <f>IFERROR(INDEX(V574:AG574,1,MATCH(Parametres!$B$3,V$1:AG$1,0)-1)*IF(OR(C574="L",C574="S",C574="I"),-1,1),"")</f>
        <v>6</v>
      </c>
      <c r="AW574" s="899">
        <f t="shared" si="53"/>
        <v>0</v>
      </c>
      <c r="AX574" s="899">
        <f>INDEX(V574:AG574,1,MATCH(Parametres!$B$3,V$1:AG$1,0))*IF(OR(C574="L",C574="S",C574="I"),-1,1)</f>
        <v>6</v>
      </c>
      <c r="AY574" s="487" t="s">
        <v>337</v>
      </c>
      <c r="AZ574" s="487" t="str">
        <f>+VLOOKUP($AJ574,Data_Validation!$A:$E,5,0)</f>
        <v>Oui</v>
      </c>
    </row>
    <row r="575" spans="1:52" ht="15" customHeight="1">
      <c r="A575" s="706" t="s">
        <v>1148</v>
      </c>
      <c r="B575" s="706">
        <v>2025</v>
      </c>
      <c r="C575" s="706" t="s">
        <v>2366</v>
      </c>
      <c r="D575" s="706" t="s">
        <v>2367</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G43520</v>
      </c>
      <c r="AK575" s="905" t="str">
        <f t="shared" si="55"/>
        <v>VTES-SSR             -LOC</v>
      </c>
      <c r="AL575" s="905">
        <f>IFERROR(INDEX(G575:R575,1,MATCH(Parametres!$B$3,G$1:R$1,0)-1)*IF(OR(F575="L",F575="S",F575="I"),-1,1),"")</f>
        <v>0</v>
      </c>
      <c r="AM575" s="905">
        <f t="shared" si="50"/>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G43520</v>
      </c>
      <c r="AU575" s="488" t="str">
        <f t="shared" si="52"/>
        <v>VTES-SSR             -LOC</v>
      </c>
      <c r="AV575" s="899">
        <f>IFERROR(INDEX(V575:AG575,1,MATCH(Parametres!$B$3,V$1:AG$1,0)-1)*IF(OR(C575="L",C575="S",C575="I"),-1,1),"")</f>
        <v>0</v>
      </c>
      <c r="AW575" s="899">
        <f t="shared" si="53"/>
        <v>0</v>
      </c>
      <c r="AX575" s="899">
        <f>INDEX(V575:AG575,1,MATCH(Parametres!$B$3,V$1:AG$1,0))*IF(OR(C575="L",C575="S",C575="I"),-1,1)</f>
        <v>0</v>
      </c>
      <c r="AY575" s="487" t="s">
        <v>337</v>
      </c>
      <c r="AZ575" s="487" t="e">
        <f>+VLOOKUP($AJ575,Data_Validation!$A:$E,5,0)</f>
        <v>#N/A</v>
      </c>
    </row>
    <row r="576" spans="1:52" ht="15" hidden="1" customHeight="1">
      <c r="A576" s="706" t="s">
        <v>1148</v>
      </c>
      <c r="B576" s="706">
        <v>2025</v>
      </c>
      <c r="C576" s="706" t="s">
        <v>2368</v>
      </c>
      <c r="D576" s="706" t="s">
        <v>2369</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905" t="str">
        <f t="shared" si="54"/>
        <v>G43600</v>
      </c>
      <c r="AK576" s="905" t="str">
        <f t="shared" si="55"/>
        <v>VTES-TRAIL BLAZER</v>
      </c>
      <c r="AL576" s="905">
        <f>IFERROR(INDEX(G576:R576,1,MATCH(Parametres!$B$3,G$1:R$1,0)-1)*IF(OR(F576="L",F576="S",F576="I"),-1,1),"")</f>
        <v>-398819.27</v>
      </c>
      <c r="AM576" s="905">
        <f t="shared" si="50"/>
        <v>-70656.669999999984</v>
      </c>
      <c r="AN576" s="905">
        <f>INDEX(G576:R576,1,MATCH(Parametres!$B$3,G$1:R$1,0))*IF(OR(F576="L",F576="S",F576="I"),-1,1)</f>
        <v>-469475.94</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51"/>
        <v>G43600</v>
      </c>
      <c r="AU576" s="488" t="str">
        <f t="shared" si="52"/>
        <v>VTES-TRAIL BLAZER</v>
      </c>
      <c r="AV576" s="899">
        <f>IFERROR(INDEX(V576:AG576,1,MATCH(Parametres!$B$3,V$1:AG$1,0)-1)*IF(OR(C576="L",C576="S",C576="I"),-1,1),"")</f>
        <v>11</v>
      </c>
      <c r="AW576" s="899">
        <f t="shared" si="53"/>
        <v>2</v>
      </c>
      <c r="AX576" s="899">
        <f>INDEX(V576:AG576,1,MATCH(Parametres!$B$3,V$1:AG$1,0))*IF(OR(C576="L",C576="S",C576="I"),-1,1)</f>
        <v>13</v>
      </c>
      <c r="AY576" s="487" t="s">
        <v>337</v>
      </c>
      <c r="AZ576" s="487" t="str">
        <f>+VLOOKUP($AJ576,Data_Validation!$A:$E,5,0)</f>
        <v>Oui</v>
      </c>
    </row>
    <row r="577" spans="1:52" ht="15" hidden="1" customHeight="1">
      <c r="A577" s="706" t="s">
        <v>1148</v>
      </c>
      <c r="B577" s="706">
        <v>2025</v>
      </c>
      <c r="C577" s="706" t="s">
        <v>2370</v>
      </c>
      <c r="D577" s="706" t="s">
        <v>2371</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905" t="str">
        <f t="shared" si="54"/>
        <v>G43602</v>
      </c>
      <c r="AK577" s="905" t="str">
        <f t="shared" si="55"/>
        <v>VENTES GMC ACADIA</v>
      </c>
      <c r="AL577" s="905">
        <f>IFERROR(INDEX(G577:R577,1,MATCH(Parametres!$B$3,G$1:R$1,0)-1)*IF(OR(F577="L",F577="S",F577="I"),-1,1),"")</f>
        <v>-315241</v>
      </c>
      <c r="AM577" s="905">
        <f t="shared" si="50"/>
        <v>0</v>
      </c>
      <c r="AN577" s="905">
        <f>INDEX(G577:R577,1,MATCH(Parametres!$B$3,G$1:R$1,0))*IF(OR(F577="L",F577="S",F577="I"),-1,1)</f>
        <v>-315241</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51"/>
        <v>G43602</v>
      </c>
      <c r="AU577" s="488" t="str">
        <f t="shared" si="52"/>
        <v>VENTES GMC ACADIA</v>
      </c>
      <c r="AV577" s="899">
        <f>IFERROR(INDEX(V577:AG577,1,MATCH(Parametres!$B$3,V$1:AG$1,0)-1)*IF(OR(C577="L",C577="S",C577="I"),-1,1),"")</f>
        <v>5</v>
      </c>
      <c r="AW577" s="899">
        <f t="shared" si="53"/>
        <v>0</v>
      </c>
      <c r="AX577" s="899">
        <f>INDEX(V577:AG577,1,MATCH(Parametres!$B$3,V$1:AG$1,0))*IF(OR(C577="L",C577="S",C577="I"),-1,1)</f>
        <v>5</v>
      </c>
      <c r="AY577" s="487" t="s">
        <v>337</v>
      </c>
      <c r="AZ577" s="487" t="str">
        <f>+VLOOKUP($AJ577,Data_Validation!$A:$E,5,0)</f>
        <v>Oui</v>
      </c>
    </row>
    <row r="578" spans="1:52" ht="15" customHeight="1">
      <c r="A578" s="706" t="s">
        <v>1148</v>
      </c>
      <c r="B578" s="706">
        <v>2025</v>
      </c>
      <c r="C578" s="706" t="s">
        <v>2372</v>
      </c>
      <c r="D578" s="706" t="s">
        <v>2373</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G43800</v>
      </c>
      <c r="AK578" s="905" t="str">
        <f t="shared" si="55"/>
        <v>VTES-CHEV CAMION AUTRES</v>
      </c>
      <c r="AL578" s="905">
        <f>IFERROR(INDEX(G578:R578,1,MATCH(Parametres!$B$3,G$1:R$1,0)-1)*IF(OR(F578="L",F578="S",F578="I"),-1,1),"")</f>
        <v>0</v>
      </c>
      <c r="AM578" s="905">
        <f t="shared" si="50"/>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G43800</v>
      </c>
      <c r="AU578" s="488" t="str">
        <f t="shared" si="52"/>
        <v>VTES-CHEV CAMION AUTRES</v>
      </c>
      <c r="AV578" s="899">
        <f>IFERROR(INDEX(V578:AG578,1,MATCH(Parametres!$B$3,V$1:AG$1,0)-1)*IF(OR(C578="L",C578="S",C578="I"),-1,1),"")</f>
        <v>0</v>
      </c>
      <c r="AW578" s="899">
        <f t="shared" si="53"/>
        <v>0</v>
      </c>
      <c r="AX578" s="899">
        <f>INDEX(V578:AG578,1,MATCH(Parametres!$B$3,V$1:AG$1,0))*IF(OR(C578="L",C578="S",C578="I"),-1,1)</f>
        <v>0</v>
      </c>
      <c r="AY578" s="487" t="s">
        <v>337</v>
      </c>
      <c r="AZ578" s="487" t="e">
        <f>+VLOOKUP($AJ578,Data_Validation!$A:$E,5,0)</f>
        <v>#N/A</v>
      </c>
    </row>
    <row r="579" spans="1:52" ht="15" customHeight="1">
      <c r="A579" s="706" t="s">
        <v>1148</v>
      </c>
      <c r="B579" s="706">
        <v>2025</v>
      </c>
      <c r="C579" s="706" t="s">
        <v>2374</v>
      </c>
      <c r="D579" s="706" t="s">
        <v>2375</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G43820</v>
      </c>
      <c r="AK579" s="905" t="str">
        <f t="shared" si="55"/>
        <v>VTES-CHEV CAM AUTRE  -LOC</v>
      </c>
      <c r="AL579" s="905">
        <f>IFERROR(INDEX(G579:R579,1,MATCH(Parametres!$B$3,G$1:R$1,0)-1)*IF(OR(F579="L",F579="S",F579="I"),-1,1),"")</f>
        <v>0</v>
      </c>
      <c r="AM579" s="905">
        <f t="shared" si="50"/>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51"/>
        <v>G43820</v>
      </c>
      <c r="AU579" s="488" t="str">
        <f t="shared" si="52"/>
        <v>VTES-CHEV CAM AUTRE  -LOC</v>
      </c>
      <c r="AV579" s="899">
        <f>IFERROR(INDEX(V579:AG579,1,MATCH(Parametres!$B$3,V$1:AG$1,0)-1)*IF(OR(C579="L",C579="S",C579="I"),-1,1),"")</f>
        <v>0</v>
      </c>
      <c r="AW579" s="899">
        <f t="shared" si="53"/>
        <v>0</v>
      </c>
      <c r="AX579" s="899">
        <f>INDEX(V579:AG579,1,MATCH(Parametres!$B$3,V$1:AG$1,0))*IF(OR(C579="L",C579="S",C579="I"),-1,1)</f>
        <v>0</v>
      </c>
      <c r="AY579" s="487" t="s">
        <v>337</v>
      </c>
      <c r="AZ579" s="487" t="e">
        <f>+VLOOKUP($AJ579,Data_Validation!$A:$E,5,0)</f>
        <v>#N/A</v>
      </c>
    </row>
    <row r="580" spans="1:52" ht="15" hidden="1" customHeight="1">
      <c r="A580" s="706" t="s">
        <v>1148</v>
      </c>
      <c r="B580" s="706">
        <v>2025</v>
      </c>
      <c r="C580" s="706" t="s">
        <v>2376</v>
      </c>
      <c r="D580" s="706" t="s">
        <v>2377</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905" t="str">
        <f t="shared" si="54"/>
        <v>G44000</v>
      </c>
      <c r="AK580" s="905" t="str">
        <f t="shared" si="55"/>
        <v>VENTES PARCS CAMIONS</v>
      </c>
      <c r="AL580" s="905">
        <f>IFERROR(INDEX(G580:R580,1,MATCH(Parametres!$B$3,G$1:R$1,0)-1)*IF(OR(F580="L",F580="S",F580="I"),-1,1),"")</f>
        <v>-72125162.510000005</v>
      </c>
      <c r="AM580" s="905">
        <f t="shared" ref="AM580:AM643" si="56">AN580-AL580</f>
        <v>-9522534.1599999964</v>
      </c>
      <c r="AN580" s="905">
        <f>INDEX(G580:R580,1,MATCH(Parametres!$B$3,G$1:R$1,0))*IF(OR(F580="L",F580="S",F580="I"),-1,1)</f>
        <v>-81647696.670000002</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T643" si="57">C580</f>
        <v>G44000</v>
      </c>
      <c r="AU580" s="488" t="str">
        <f t="shared" ref="AU580:AU643" si="58">D580</f>
        <v>VENTES PARCS CAMIONS</v>
      </c>
      <c r="AV580" s="899">
        <f>IFERROR(INDEX(V580:AG580,1,MATCH(Parametres!$B$3,V$1:AG$1,0)-1)*IF(OR(C580="L",C580="S",C580="I"),-1,1),"")</f>
        <v>1252</v>
      </c>
      <c r="AW580" s="899">
        <f t="shared" ref="AW580:AW643" si="59">AX580-AV580</f>
        <v>150</v>
      </c>
      <c r="AX580" s="899">
        <f>INDEX(V580:AG580,1,MATCH(Parametres!$B$3,V$1:AG$1,0))*IF(OR(C580="L",C580="S",C580="I"),-1,1)</f>
        <v>1402</v>
      </c>
      <c r="AY580" s="487" t="s">
        <v>337</v>
      </c>
      <c r="AZ580" s="487" t="str">
        <f>+VLOOKUP($AJ580,Data_Validation!$A:$E,5,0)</f>
        <v>Oui</v>
      </c>
    </row>
    <row r="581" spans="1:52" ht="15" hidden="1" customHeight="1">
      <c r="A581" s="706" t="s">
        <v>1148</v>
      </c>
      <c r="B581" s="706">
        <v>2025</v>
      </c>
      <c r="C581" s="706" t="s">
        <v>2378</v>
      </c>
      <c r="D581" s="706" t="s">
        <v>2379</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G44100</v>
      </c>
      <c r="AK581" s="905" t="str">
        <f t="shared" si="55"/>
        <v>VTES-INTERNE CAMIONS</v>
      </c>
      <c r="AL581" s="905">
        <f>IFERROR(INDEX(G581:R581,1,MATCH(Parametres!$B$3,G$1:R$1,0)-1)*IF(OR(F581="L",F581="S",F581="I"),-1,1),"")</f>
        <v>0</v>
      </c>
      <c r="AM581" s="905">
        <f t="shared" si="56"/>
        <v>0</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57"/>
        <v>G44100</v>
      </c>
      <c r="AU581" s="488" t="str">
        <f t="shared" si="58"/>
        <v>VTES-INTERNE CAMIONS</v>
      </c>
      <c r="AV581" s="899">
        <f>IFERROR(INDEX(V581:AG581,1,MATCH(Parametres!$B$3,V$1:AG$1,0)-1)*IF(OR(C581="L",C581="S",C581="I"),-1,1),"")</f>
        <v>0</v>
      </c>
      <c r="AW581" s="899">
        <f t="shared" si="59"/>
        <v>0</v>
      </c>
      <c r="AX581" s="899">
        <f>INDEX(V581:AG581,1,MATCH(Parametres!$B$3,V$1:AG$1,0))*IF(OR(C581="L",C581="S",C581="I"),-1,1)</f>
        <v>0</v>
      </c>
      <c r="AY581" s="487" t="s">
        <v>337</v>
      </c>
      <c r="AZ581" s="487" t="str">
        <f>+VLOOKUP($AJ581,Data_Validation!$A:$E,5,0)</f>
        <v>Oui</v>
      </c>
    </row>
    <row r="582" spans="1:52" ht="15" hidden="1" customHeight="1">
      <c r="A582" s="706" t="s">
        <v>1148</v>
      </c>
      <c r="B582" s="706">
        <v>2025</v>
      </c>
      <c r="C582" s="706" t="s">
        <v>2380</v>
      </c>
      <c r="D582" s="706" t="s">
        <v>2381</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905" t="str">
        <f t="shared" si="54"/>
        <v>G44300</v>
      </c>
      <c r="AK582" s="905" t="str">
        <f t="shared" si="55"/>
        <v>VTES-PLAN PROTECTION</v>
      </c>
      <c r="AL582" s="905">
        <f>IFERROR(INDEX(G582:R582,1,MATCH(Parametres!$B$3,G$1:R$1,0)-1)*IF(OR(F582="L",F582="S",F582="I"),-1,1),"")</f>
        <v>-733781.38</v>
      </c>
      <c r="AM582" s="905">
        <f t="shared" si="56"/>
        <v>-76770.550000000047</v>
      </c>
      <c r="AN582" s="905">
        <f>INDEX(G582:R582,1,MATCH(Parametres!$B$3,G$1:R$1,0))*IF(OR(F582="L",F582="S",F582="I"),-1,1)</f>
        <v>-810551.93</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57"/>
        <v>G44300</v>
      </c>
      <c r="AU582" s="488" t="str">
        <f t="shared" si="58"/>
        <v>VTES-PLAN PROTECTION</v>
      </c>
      <c r="AV582" s="899">
        <f>IFERROR(INDEX(V582:AG582,1,MATCH(Parametres!$B$3,V$1:AG$1,0)-1)*IF(OR(C582="L",C582="S",C582="I"),-1,1),"")</f>
        <v>229</v>
      </c>
      <c r="AW582" s="899">
        <f t="shared" si="59"/>
        <v>21</v>
      </c>
      <c r="AX582" s="899">
        <f>INDEX(V582:AG582,1,MATCH(Parametres!$B$3,V$1:AG$1,0))*IF(OR(C582="L",C582="S",C582="I"),-1,1)</f>
        <v>250</v>
      </c>
      <c r="AY582" s="487" t="s">
        <v>337</v>
      </c>
      <c r="AZ582" s="487" t="str">
        <f>+VLOOKUP($AJ582,Data_Validation!$A:$E,5,0)</f>
        <v>Oui</v>
      </c>
    </row>
    <row r="583" spans="1:52" ht="15" hidden="1" customHeight="1">
      <c r="A583" s="706" t="s">
        <v>1148</v>
      </c>
      <c r="B583" s="706">
        <v>2025</v>
      </c>
      <c r="C583" s="706" t="s">
        <v>2382</v>
      </c>
      <c r="D583" s="706" t="s">
        <v>2383</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G44400</v>
      </c>
      <c r="AK583" s="905" t="str">
        <f t="shared" si="55"/>
        <v>VENTE PROTECTION PLUS</v>
      </c>
      <c r="AL583" s="905">
        <f>IFERROR(INDEX(G583:R583,1,MATCH(Parametres!$B$3,G$1:R$1,0)-1)*IF(OR(F583="L",F583="S",F583="I"),-1,1),"")</f>
        <v>0</v>
      </c>
      <c r="AM583" s="905">
        <f t="shared" si="56"/>
        <v>0</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57"/>
        <v>G44400</v>
      </c>
      <c r="AU583" s="488" t="str">
        <f t="shared" si="58"/>
        <v>VENTE PROTECTION PLUS</v>
      </c>
      <c r="AV583" s="899">
        <f>IFERROR(INDEX(V583:AG583,1,MATCH(Parametres!$B$3,V$1:AG$1,0)-1)*IF(OR(C583="L",C583="S",C583="I"),-1,1),"")</f>
        <v>0</v>
      </c>
      <c r="AW583" s="899">
        <f t="shared" si="59"/>
        <v>0</v>
      </c>
      <c r="AX583" s="899">
        <f>INDEX(V583:AG583,1,MATCH(Parametres!$B$3,V$1:AG$1,0))*IF(OR(C583="L",C583="S",C583="I"),-1,1)</f>
        <v>0</v>
      </c>
      <c r="AY583" s="487" t="s">
        <v>337</v>
      </c>
      <c r="AZ583" s="487" t="str">
        <f>+VLOOKUP($AJ583,Data_Validation!$A:$E,5,0)</f>
        <v>Oui</v>
      </c>
    </row>
    <row r="584" spans="1:52" ht="15" hidden="1" customHeight="1">
      <c r="A584" s="706" t="s">
        <v>1148</v>
      </c>
      <c r="B584" s="706">
        <v>2025</v>
      </c>
      <c r="C584" s="706" t="s">
        <v>2384</v>
      </c>
      <c r="D584" s="706" t="s">
        <v>2385</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905" t="str">
        <f t="shared" si="54"/>
        <v>G44501</v>
      </c>
      <c r="AK584" s="905" t="str">
        <f t="shared" si="55"/>
        <v>VTES-ANTIROUILLE</v>
      </c>
      <c r="AL584" s="905">
        <f>IFERROR(INDEX(G584:R584,1,MATCH(Parametres!$B$3,G$1:R$1,0)-1)*IF(OR(F584="L",F584="S",F584="I"),-1,1),"")</f>
        <v>-4495</v>
      </c>
      <c r="AM584" s="905">
        <f t="shared" si="56"/>
        <v>-899</v>
      </c>
      <c r="AN584" s="905">
        <f>INDEX(G584:R584,1,MATCH(Parametres!$B$3,G$1:R$1,0))*IF(OR(F584="L",F584="S",F584="I"),-1,1)</f>
        <v>-5394</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57"/>
        <v>G44501</v>
      </c>
      <c r="AU584" s="488" t="str">
        <f t="shared" si="58"/>
        <v>VTES-ANTIROUILLE</v>
      </c>
      <c r="AV584" s="899">
        <f>IFERROR(INDEX(V584:AG584,1,MATCH(Parametres!$B$3,V$1:AG$1,0)-1)*IF(OR(C584="L",C584="S",C584="I"),-1,1),"")</f>
        <v>6</v>
      </c>
      <c r="AW584" s="899">
        <f t="shared" si="59"/>
        <v>1</v>
      </c>
      <c r="AX584" s="899">
        <f>INDEX(V584:AG584,1,MATCH(Parametres!$B$3,V$1:AG$1,0))*IF(OR(C584="L",C584="S",C584="I"),-1,1)</f>
        <v>7</v>
      </c>
      <c r="AY584" s="487" t="s">
        <v>337</v>
      </c>
      <c r="AZ584" s="487" t="str">
        <f>+VLOOKUP($AJ584,Data_Validation!$A:$E,5,0)</f>
        <v>Oui</v>
      </c>
    </row>
    <row r="585" spans="1:52" ht="15" hidden="1" customHeight="1">
      <c r="A585" s="706" t="s">
        <v>1148</v>
      </c>
      <c r="B585" s="706">
        <v>2025</v>
      </c>
      <c r="C585" s="706" t="s">
        <v>2386</v>
      </c>
      <c r="D585" s="706" t="s">
        <v>2387</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905" t="str">
        <f t="shared" si="54"/>
        <v>G44503</v>
      </c>
      <c r="AK585" s="905" t="str">
        <f t="shared" si="55"/>
        <v>V.TEINTÉE-PEINTURE-TISSUS</v>
      </c>
      <c r="AL585" s="905">
        <f>IFERROR(INDEX(G585:R585,1,MATCH(Parametres!$B$3,G$1:R$1,0)-1)*IF(OR(F585="L",F585="S",F585="I"),-1,1),"")</f>
        <v>-54484</v>
      </c>
      <c r="AM585" s="905">
        <f t="shared" si="56"/>
        <v>-2393</v>
      </c>
      <c r="AN585" s="905">
        <f>INDEX(G585:R585,1,MATCH(Parametres!$B$3,G$1:R$1,0))*IF(OR(F585="L",F585="S",F585="I"),-1,1)</f>
        <v>-56877</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57"/>
        <v>G44503</v>
      </c>
      <c r="AU585" s="488" t="str">
        <f t="shared" si="58"/>
        <v>V.TEINTÉE-PEINTURE-TISSUS</v>
      </c>
      <c r="AV585" s="899">
        <f>IFERROR(INDEX(V585:AG585,1,MATCH(Parametres!$B$3,V$1:AG$1,0)-1)*IF(OR(C585="L",C585="S",C585="I"),-1,1),"")</f>
        <v>74</v>
      </c>
      <c r="AW585" s="899">
        <f t="shared" si="59"/>
        <v>4</v>
      </c>
      <c r="AX585" s="899">
        <f>INDEX(V585:AG585,1,MATCH(Parametres!$B$3,V$1:AG$1,0))*IF(OR(C585="L",C585="S",C585="I"),-1,1)</f>
        <v>78</v>
      </c>
      <c r="AY585" s="487" t="s">
        <v>337</v>
      </c>
      <c r="AZ585" s="487" t="str">
        <f>+VLOOKUP($AJ585,Data_Validation!$A:$E,5,0)</f>
        <v>Oui</v>
      </c>
    </row>
    <row r="586" spans="1:52" ht="15" hidden="1" customHeight="1">
      <c r="A586" s="706" t="s">
        <v>1148</v>
      </c>
      <c r="B586" s="706">
        <v>2025</v>
      </c>
      <c r="C586" s="706" t="s">
        <v>2388</v>
      </c>
      <c r="D586" s="706" t="s">
        <v>2389</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905" t="str">
        <f t="shared" si="54"/>
        <v>G44504</v>
      </c>
      <c r="AK586" s="905" t="str">
        <f t="shared" si="55"/>
        <v>VTES-ASS. VALEUR REMPL</v>
      </c>
      <c r="AL586" s="905">
        <f>IFERROR(INDEX(G586:R586,1,MATCH(Parametres!$B$3,G$1:R$1,0)-1)*IF(OR(F586="L",F586="S",F586="I"),-1,1),"")</f>
        <v>-75973</v>
      </c>
      <c r="AM586" s="905">
        <f t="shared" si="56"/>
        <v>-21613</v>
      </c>
      <c r="AN586" s="905">
        <f>INDEX(G586:R586,1,MATCH(Parametres!$B$3,G$1:R$1,0))*IF(OR(F586="L",F586="S",F586="I"),-1,1)</f>
        <v>-97586</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57"/>
        <v>G44504</v>
      </c>
      <c r="AU586" s="488" t="str">
        <f t="shared" si="58"/>
        <v>VTES-ASS. VALEUR REMPL</v>
      </c>
      <c r="AV586" s="899">
        <f>IFERROR(INDEX(V586:AG586,1,MATCH(Parametres!$B$3,V$1:AG$1,0)-1)*IF(OR(C586="L",C586="S",C586="I"),-1,1),"")</f>
        <v>25</v>
      </c>
      <c r="AW586" s="899">
        <f t="shared" si="59"/>
        <v>6</v>
      </c>
      <c r="AX586" s="899">
        <f>INDEX(V586:AG586,1,MATCH(Parametres!$B$3,V$1:AG$1,0))*IF(OR(C586="L",C586="S",C586="I"),-1,1)</f>
        <v>31</v>
      </c>
      <c r="AY586" s="487" t="s">
        <v>337</v>
      </c>
      <c r="AZ586" s="487" t="str">
        <f>+VLOOKUP($AJ586,Data_Validation!$A:$E,5,0)</f>
        <v>Oui</v>
      </c>
    </row>
    <row r="587" spans="1:52" ht="15" hidden="1" customHeight="1">
      <c r="A587" s="706" t="s">
        <v>1148</v>
      </c>
      <c r="B587" s="706">
        <v>2025</v>
      </c>
      <c r="C587" s="706" t="s">
        <v>2390</v>
      </c>
      <c r="D587" s="706" t="s">
        <v>2391</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905" t="str">
        <f t="shared" si="54"/>
        <v>G44505</v>
      </c>
      <c r="AK587" s="905" t="str">
        <f t="shared" si="55"/>
        <v>VENTES-ANTIVOL &amp; TAG</v>
      </c>
      <c r="AL587" s="905">
        <f>IFERROR(INDEX(G587:R587,1,MATCH(Parametres!$B$3,G$1:R$1,0)-1)*IF(OR(F587="L",F587="S",F587="I"),-1,1),"")</f>
        <v>-42229</v>
      </c>
      <c r="AM587" s="905">
        <f t="shared" si="56"/>
        <v>-2265</v>
      </c>
      <c r="AN587" s="905">
        <f>INDEX(G587:R587,1,MATCH(Parametres!$B$3,G$1:R$1,0))*IF(OR(F587="L",F587="S",F587="I"),-1,1)</f>
        <v>-44494</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57"/>
        <v>G44505</v>
      </c>
      <c r="AU587" s="488" t="str">
        <f t="shared" si="58"/>
        <v>VENTES-ANTIVOL &amp; TAG</v>
      </c>
      <c r="AV587" s="899">
        <f>IFERROR(INDEX(V587:AG587,1,MATCH(Parametres!$B$3,V$1:AG$1,0)-1)*IF(OR(C587="L",C587="S",C587="I"),-1,1),"")</f>
        <v>94</v>
      </c>
      <c r="AW587" s="899">
        <f t="shared" si="59"/>
        <v>4</v>
      </c>
      <c r="AX587" s="899">
        <f>INDEX(V587:AG587,1,MATCH(Parametres!$B$3,V$1:AG$1,0))*IF(OR(C587="L",C587="S",C587="I"),-1,1)</f>
        <v>98</v>
      </c>
      <c r="AY587" s="487" t="s">
        <v>337</v>
      </c>
      <c r="AZ587" s="487" t="str">
        <f>+VLOOKUP($AJ587,Data_Validation!$A:$E,5,0)</f>
        <v>Oui</v>
      </c>
    </row>
    <row r="588" spans="1:52" ht="15" hidden="1" customHeight="1">
      <c r="A588" s="706" t="s">
        <v>1148</v>
      </c>
      <c r="B588" s="706">
        <v>2025</v>
      </c>
      <c r="C588" s="706" t="s">
        <v>2392</v>
      </c>
      <c r="D588" s="706" t="s">
        <v>2393</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G44600</v>
      </c>
      <c r="AK588" s="905" t="str">
        <f t="shared" si="55"/>
        <v>VTES-AUTOS OCC. DET.OPT.</v>
      </c>
      <c r="AL588" s="905">
        <f>IFERROR(INDEX(G588:R588,1,MATCH(Parametres!$B$3,G$1:R$1,0)-1)*IF(OR(F588="L",F588="S",F588="I"),-1,1),"")</f>
        <v>0</v>
      </c>
      <c r="AM588" s="905">
        <f t="shared" si="56"/>
        <v>0</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57"/>
        <v>G44600</v>
      </c>
      <c r="AU588" s="488" t="str">
        <f t="shared" si="58"/>
        <v>VTES-AUTOS OCC. DET.OPT.</v>
      </c>
      <c r="AV588" s="899">
        <f>IFERROR(INDEX(V588:AG588,1,MATCH(Parametres!$B$3,V$1:AG$1,0)-1)*IF(OR(C588="L",C588="S",C588="I"),-1,1),"")</f>
        <v>0</v>
      </c>
      <c r="AW588" s="899">
        <f t="shared" si="59"/>
        <v>0</v>
      </c>
      <c r="AX588" s="899">
        <f>INDEX(V588:AG588,1,MATCH(Parametres!$B$3,V$1:AG$1,0))*IF(OR(C588="L",C588="S",C588="I"),-1,1)</f>
        <v>0</v>
      </c>
      <c r="AY588" s="487" t="s">
        <v>337</v>
      </c>
      <c r="AZ588" s="487" t="str">
        <f>+VLOOKUP($AJ588,Data_Validation!$A:$E,5,0)</f>
        <v>Oui</v>
      </c>
    </row>
    <row r="589" spans="1:52" ht="15" hidden="1" customHeight="1">
      <c r="A589" s="706" t="s">
        <v>1148</v>
      </c>
      <c r="B589" s="706">
        <v>2025</v>
      </c>
      <c r="C589" s="706" t="s">
        <v>2394</v>
      </c>
      <c r="D589" s="706" t="s">
        <v>2395</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905" t="str">
        <f t="shared" si="54"/>
        <v>G44601</v>
      </c>
      <c r="AK589" s="905" t="str">
        <f t="shared" si="55"/>
        <v>VTES-VOIT.OCC.DET.AUTRE</v>
      </c>
      <c r="AL589" s="905">
        <f>IFERROR(INDEX(G589:R589,1,MATCH(Parametres!$B$3,G$1:R$1,0)-1)*IF(OR(F589="L",F589="S",F589="I"),-1,1),"")</f>
        <v>-828568.51</v>
      </c>
      <c r="AM589" s="905">
        <f t="shared" si="56"/>
        <v>-53835.410000000033</v>
      </c>
      <c r="AN589" s="905">
        <f>INDEX(G589:R589,1,MATCH(Parametres!$B$3,G$1:R$1,0))*IF(OR(F589="L",F589="S",F589="I"),-1,1)</f>
        <v>-882403.92</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57"/>
        <v>G44601</v>
      </c>
      <c r="AU589" s="488" t="str">
        <f t="shared" si="58"/>
        <v>VTES-VOIT.OCC.DET.AUTRE</v>
      </c>
      <c r="AV589" s="899">
        <f>IFERROR(INDEX(V589:AG589,1,MATCH(Parametres!$B$3,V$1:AG$1,0)-1)*IF(OR(C589="L",C589="S",C589="I"),-1,1),"")</f>
        <v>27</v>
      </c>
      <c r="AW589" s="899">
        <f t="shared" si="59"/>
        <v>3</v>
      </c>
      <c r="AX589" s="899">
        <f>INDEX(V589:AG589,1,MATCH(Parametres!$B$3,V$1:AG$1,0))*IF(OR(C589="L",C589="S",C589="I"),-1,1)</f>
        <v>30</v>
      </c>
      <c r="AY589" s="487" t="s">
        <v>337</v>
      </c>
      <c r="AZ589" s="487" t="str">
        <f>+VLOOKUP($AJ589,Data_Validation!$A:$E,5,0)</f>
        <v>Oui</v>
      </c>
    </row>
    <row r="590" spans="1:52" ht="15" customHeight="1">
      <c r="A590" s="706" t="s">
        <v>1148</v>
      </c>
      <c r="B590" s="706">
        <v>2025</v>
      </c>
      <c r="C590" s="706" t="s">
        <v>2396</v>
      </c>
      <c r="D590" s="706" t="s">
        <v>2397</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G44620</v>
      </c>
      <c r="AK590" s="905" t="str">
        <f t="shared" si="55"/>
        <v>VTES-LOC AUTOS USAGE OPT.</v>
      </c>
      <c r="AL590" s="905">
        <f>IFERROR(INDEX(G590:R590,1,MATCH(Parametres!$B$3,G$1:R$1,0)-1)*IF(OR(F590="L",F590="S",F590="I"),-1,1),"")</f>
        <v>0</v>
      </c>
      <c r="AM590" s="905">
        <f t="shared" si="56"/>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G44620</v>
      </c>
      <c r="AU590" s="488" t="str">
        <f t="shared" si="58"/>
        <v>VTES-LOC AUTOS USAGE OPT.</v>
      </c>
      <c r="AV590" s="899">
        <f>IFERROR(INDEX(V590:AG590,1,MATCH(Parametres!$B$3,V$1:AG$1,0)-1)*IF(OR(C590="L",C590="S",C590="I"),-1,1),"")</f>
        <v>0</v>
      </c>
      <c r="AW590" s="899">
        <f t="shared" si="59"/>
        <v>0</v>
      </c>
      <c r="AX590" s="899">
        <f>INDEX(V590:AG590,1,MATCH(Parametres!$B$3,V$1:AG$1,0))*IF(OR(C590="L",C590="S",C590="I"),-1,1)</f>
        <v>0</v>
      </c>
      <c r="AY590" s="487" t="s">
        <v>337</v>
      </c>
      <c r="AZ590" s="487" t="e">
        <f>+VLOOKUP($AJ590,Data_Validation!$A:$E,5,0)</f>
        <v>#N/A</v>
      </c>
    </row>
    <row r="591" spans="1:52" ht="15" customHeight="1">
      <c r="A591" s="706" t="s">
        <v>1148</v>
      </c>
      <c r="B591" s="706">
        <v>2025</v>
      </c>
      <c r="C591" s="706" t="s">
        <v>2398</v>
      </c>
      <c r="D591" s="706" t="s">
        <v>2399</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905" t="str">
        <f t="shared" si="54"/>
        <v>G44700</v>
      </c>
      <c r="AK591" s="905" t="str">
        <f t="shared" si="55"/>
        <v>*REM.NEUF VOITURE DET.OPT</v>
      </c>
      <c r="AL591" s="905">
        <f>IFERROR(INDEX(G591:R591,1,MATCH(Parametres!$B$3,G$1:R$1,0)-1)*IF(OR(F591="L",F591="S",F591="I"),-1,1),"")</f>
        <v>0</v>
      </c>
      <c r="AM591" s="905">
        <f t="shared" si="56"/>
        <v>0</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57"/>
        <v>G44700</v>
      </c>
      <c r="AU591" s="488" t="str">
        <f t="shared" si="58"/>
        <v>*REM.NEUF VOITURE DET.OPT</v>
      </c>
      <c r="AV591" s="899">
        <f>IFERROR(INDEX(V591:AG591,1,MATCH(Parametres!$B$3,V$1:AG$1,0)-1)*IF(OR(C591="L",C591="S",C591="I"),-1,1),"")</f>
        <v>0</v>
      </c>
      <c r="AW591" s="899">
        <f t="shared" si="59"/>
        <v>0</v>
      </c>
      <c r="AX591" s="899">
        <f>INDEX(V591:AG591,1,MATCH(Parametres!$B$3,V$1:AG$1,0))*IF(OR(C591="L",C591="S",C591="I"),-1,1)</f>
        <v>0</v>
      </c>
      <c r="AY591" s="487" t="s">
        <v>337</v>
      </c>
      <c r="AZ591" s="487">
        <f>+VLOOKUP($AJ591,Data_Validation!$A:$E,5,0)</f>
        <v>0</v>
      </c>
    </row>
    <row r="592" spans="1:52" ht="15" customHeight="1">
      <c r="A592" s="706" t="s">
        <v>1148</v>
      </c>
      <c r="B592" s="706">
        <v>2025</v>
      </c>
      <c r="C592" s="706" t="s">
        <v>2400</v>
      </c>
      <c r="D592" s="706" t="s">
        <v>2401</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905" t="str">
        <f t="shared" si="54"/>
        <v>G44701</v>
      </c>
      <c r="AK592" s="905" t="str">
        <f t="shared" si="55"/>
        <v>*REM.NEUF VOIT.DET.AUTRES</v>
      </c>
      <c r="AL592" s="905">
        <f>IFERROR(INDEX(G592:R592,1,MATCH(Parametres!$B$3,G$1:R$1,0)-1)*IF(OR(F592="L",F592="S",F592="I"),-1,1),"")</f>
        <v>0</v>
      </c>
      <c r="AM592" s="905">
        <f t="shared" si="56"/>
        <v>0</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57"/>
        <v>G44701</v>
      </c>
      <c r="AU592" s="488" t="str">
        <f t="shared" si="58"/>
        <v>*REM.NEUF VOIT.DET.AUTRES</v>
      </c>
      <c r="AV592" s="899">
        <f>IFERROR(INDEX(V592:AG592,1,MATCH(Parametres!$B$3,V$1:AG$1,0)-1)*IF(OR(C592="L",C592="S",C592="I"),-1,1),"")</f>
        <v>0</v>
      </c>
      <c r="AW592" s="899">
        <f t="shared" si="59"/>
        <v>0</v>
      </c>
      <c r="AX592" s="899">
        <f>INDEX(V592:AG592,1,MATCH(Parametres!$B$3,V$1:AG$1,0))*IF(OR(C592="L",C592="S",C592="I"),-1,1)</f>
        <v>0</v>
      </c>
      <c r="AY592" s="487" t="s">
        <v>337</v>
      </c>
      <c r="AZ592" s="487">
        <f>+VLOOKUP($AJ592,Data_Validation!$A:$E,5,0)</f>
        <v>0</v>
      </c>
    </row>
    <row r="593" spans="1:52" ht="15" customHeight="1">
      <c r="A593" s="706" t="s">
        <v>1148</v>
      </c>
      <c r="B593" s="706">
        <v>2025</v>
      </c>
      <c r="C593" s="706" t="s">
        <v>2402</v>
      </c>
      <c r="D593" s="706" t="s">
        <v>2403</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G44720</v>
      </c>
      <c r="AK593" s="905" t="str">
        <f t="shared" si="55"/>
        <v>*REM.NEUF LOC.AUTO DET.OP</v>
      </c>
      <c r="AL593" s="905">
        <f>IFERROR(INDEX(G593:R593,1,MATCH(Parametres!$B$3,G$1:R$1,0)-1)*IF(OR(F593="L",F593="S",F593="I"),-1,1),"")</f>
        <v>0</v>
      </c>
      <c r="AM593" s="905">
        <f t="shared" si="56"/>
        <v>0</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57"/>
        <v>G44720</v>
      </c>
      <c r="AU593" s="488" t="str">
        <f t="shared" si="58"/>
        <v>*REM.NEUF LOC.AUTO DET.OP</v>
      </c>
      <c r="AV593" s="899">
        <f>IFERROR(INDEX(V593:AG593,1,MATCH(Parametres!$B$3,V$1:AG$1,0)-1)*IF(OR(C593="L",C593="S",C593="I"),-1,1),"")</f>
        <v>0</v>
      </c>
      <c r="AW593" s="899">
        <f t="shared" si="59"/>
        <v>0</v>
      </c>
      <c r="AX593" s="899">
        <f>INDEX(V593:AG593,1,MATCH(Parametres!$B$3,V$1:AG$1,0))*IF(OR(C593="L",C593="S",C593="I"),-1,1)</f>
        <v>0</v>
      </c>
      <c r="AY593" s="487" t="s">
        <v>337</v>
      </c>
      <c r="AZ593" s="487">
        <f>+VLOOKUP($AJ593,Data_Validation!$A:$E,5,0)</f>
        <v>0</v>
      </c>
    </row>
    <row r="594" spans="1:52" ht="15" hidden="1" customHeight="1">
      <c r="A594" s="706" t="s">
        <v>1148</v>
      </c>
      <c r="B594" s="706">
        <v>2025</v>
      </c>
      <c r="C594" s="706" t="s">
        <v>2404</v>
      </c>
      <c r="D594" s="706" t="s">
        <v>2405</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905" t="str">
        <f t="shared" si="54"/>
        <v>G44800</v>
      </c>
      <c r="AK594" s="905" t="str">
        <f t="shared" si="55"/>
        <v>VTES-VOIT.OCC.EN GROS-DET</v>
      </c>
      <c r="AL594" s="905">
        <f>IFERROR(INDEX(G594:R594,1,MATCH(Parametres!$B$3,G$1:R$1,0)-1)*IF(OR(F594="L",F594="S",F594="I"),-1,1),"")</f>
        <v>-1213708.3999999999</v>
      </c>
      <c r="AM594" s="905">
        <f t="shared" si="56"/>
        <v>-96620</v>
      </c>
      <c r="AN594" s="905">
        <f>INDEX(G594:R594,1,MATCH(Parametres!$B$3,G$1:R$1,0))*IF(OR(F594="L",F594="S",F594="I"),-1,1)</f>
        <v>-1310328.3999999999</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57"/>
        <v>G44800</v>
      </c>
      <c r="AU594" s="488" t="str">
        <f t="shared" si="58"/>
        <v>VTES-VOIT.OCC.EN GROS-DET</v>
      </c>
      <c r="AV594" s="899">
        <f>IFERROR(INDEX(V594:AG594,1,MATCH(Parametres!$B$3,V$1:AG$1,0)-1)*IF(OR(C594="L",C594="S",C594="I"),-1,1),"")</f>
        <v>68</v>
      </c>
      <c r="AW594" s="899">
        <f t="shared" si="59"/>
        <v>10</v>
      </c>
      <c r="AX594" s="899">
        <f>INDEX(V594:AG594,1,MATCH(Parametres!$B$3,V$1:AG$1,0))*IF(OR(C594="L",C594="S",C594="I"),-1,1)</f>
        <v>78</v>
      </c>
      <c r="AY594" s="487" t="s">
        <v>337</v>
      </c>
      <c r="AZ594" s="487" t="str">
        <f>+VLOOKUP($AJ594,Data_Validation!$A:$E,5,0)</f>
        <v>Oui</v>
      </c>
    </row>
    <row r="595" spans="1:52" ht="15" customHeight="1">
      <c r="A595" s="706" t="s">
        <v>1148</v>
      </c>
      <c r="B595" s="706">
        <v>2025</v>
      </c>
      <c r="C595" s="706" t="s">
        <v>2406</v>
      </c>
      <c r="D595" s="706" t="s">
        <v>2407</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905" t="str">
        <f t="shared" ref="AJ595:AJ658" si="60">C595</f>
        <v>G44900</v>
      </c>
      <c r="AK595" s="905" t="str">
        <f t="shared" ref="AK595:AK658" si="61">D595</f>
        <v>*RECTIFICATION STOCK AUTO</v>
      </c>
      <c r="AL595" s="905">
        <f>IFERROR(INDEX(G595:R595,1,MATCH(Parametres!$B$3,G$1:R$1,0)-1)*IF(OR(F595="L",F595="S",F595="I"),-1,1),"")</f>
        <v>0</v>
      </c>
      <c r="AM595" s="905">
        <f t="shared" si="56"/>
        <v>0</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57"/>
        <v>G44900</v>
      </c>
      <c r="AU595" s="488" t="str">
        <f t="shared" si="58"/>
        <v>*RECTIFICATION STOCK AUTO</v>
      </c>
      <c r="AV595" s="899">
        <f>IFERROR(INDEX(V595:AG595,1,MATCH(Parametres!$B$3,V$1:AG$1,0)-1)*IF(OR(C595="L",C595="S",C595="I"),-1,1),"")</f>
        <v>0</v>
      </c>
      <c r="AW595" s="899">
        <f t="shared" si="59"/>
        <v>0</v>
      </c>
      <c r="AX595" s="899">
        <f>INDEX(V595:AG595,1,MATCH(Parametres!$B$3,V$1:AG$1,0))*IF(OR(C595="L",C595="S",C595="I"),-1,1)</f>
        <v>0</v>
      </c>
      <c r="AY595" s="487" t="s">
        <v>337</v>
      </c>
      <c r="AZ595" s="487">
        <f>+VLOOKUP($AJ595,Data_Validation!$A:$E,5,0)</f>
        <v>0</v>
      </c>
    </row>
    <row r="596" spans="1:52" ht="15" hidden="1" customHeight="1">
      <c r="A596" s="706" t="s">
        <v>1148</v>
      </c>
      <c r="B596" s="706">
        <v>2025</v>
      </c>
      <c r="C596" s="706" t="s">
        <v>2408</v>
      </c>
      <c r="D596" s="706" t="s">
        <v>2409</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G45000</v>
      </c>
      <c r="AK596" s="905" t="str">
        <f t="shared" si="61"/>
        <v>VTES-OCC.DETAIL    *WSALE</v>
      </c>
      <c r="AL596" s="905">
        <f>IFERROR(INDEX(G596:R596,1,MATCH(Parametres!$B$3,G$1:R$1,0)-1)*IF(OR(F596="L",F596="S",F596="I"),-1,1),"")</f>
        <v>0</v>
      </c>
      <c r="AM596" s="905">
        <f t="shared" si="56"/>
        <v>0</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57"/>
        <v>G45000</v>
      </c>
      <c r="AU596" s="488" t="str">
        <f t="shared" si="58"/>
        <v>VTES-OCC.DETAIL    *WSALE</v>
      </c>
      <c r="AV596" s="899">
        <f>IFERROR(INDEX(V596:AG596,1,MATCH(Parametres!$B$3,V$1:AG$1,0)-1)*IF(OR(C596="L",C596="S",C596="I"),-1,1),"")</f>
        <v>0</v>
      </c>
      <c r="AW596" s="899">
        <f t="shared" si="59"/>
        <v>0</v>
      </c>
      <c r="AX596" s="899">
        <f>INDEX(V596:AG596,1,MATCH(Parametres!$B$3,V$1:AG$1,0))*IF(OR(C596="L",C596="S",C596="I"),-1,1)</f>
        <v>0</v>
      </c>
      <c r="AY596" s="487" t="s">
        <v>337</v>
      </c>
      <c r="AZ596" s="487" t="str">
        <f>+VLOOKUP($AJ596,Data_Validation!$A:$E,5,0)</f>
        <v>Oui</v>
      </c>
    </row>
    <row r="597" spans="1:52" ht="15" hidden="1" customHeight="1">
      <c r="A597" s="706" t="s">
        <v>1148</v>
      </c>
      <c r="B597" s="706">
        <v>2025</v>
      </c>
      <c r="C597" s="706" t="s">
        <v>2410</v>
      </c>
      <c r="D597" s="706" t="s">
        <v>2411</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905" t="str">
        <f t="shared" si="60"/>
        <v>G45001</v>
      </c>
      <c r="AK597" s="905" t="str">
        <f t="shared" si="61"/>
        <v>VTES-CAM OCC. DET. AUTRES</v>
      </c>
      <c r="AL597" s="905">
        <f>IFERROR(INDEX(G597:R597,1,MATCH(Parametres!$B$3,G$1:R$1,0)-1)*IF(OR(F597="L",F597="S",F597="I"),-1,1),"")</f>
        <v>-1746372.18</v>
      </c>
      <c r="AM597" s="905">
        <f t="shared" si="56"/>
        <v>-874220.76</v>
      </c>
      <c r="AN597" s="905">
        <f>INDEX(G597:R597,1,MATCH(Parametres!$B$3,G$1:R$1,0))*IF(OR(F597="L",F597="S",F597="I"),-1,1)</f>
        <v>-2620592.94</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57"/>
        <v>G45001</v>
      </c>
      <c r="AU597" s="488" t="str">
        <f t="shared" si="58"/>
        <v>VTES-CAM OCC. DET. AUTRES</v>
      </c>
      <c r="AV597" s="899">
        <f>IFERROR(INDEX(V597:AG597,1,MATCH(Parametres!$B$3,V$1:AG$1,0)-1)*IF(OR(C597="L",C597="S",C597="I"),-1,1),"")</f>
        <v>56</v>
      </c>
      <c r="AW597" s="899">
        <f t="shared" si="59"/>
        <v>23</v>
      </c>
      <c r="AX597" s="899">
        <f>INDEX(V597:AG597,1,MATCH(Parametres!$B$3,V$1:AG$1,0))*IF(OR(C597="L",C597="S",C597="I"),-1,1)</f>
        <v>79</v>
      </c>
      <c r="AY597" s="487" t="s">
        <v>337</v>
      </c>
      <c r="AZ597" s="487" t="str">
        <f>+VLOOKUP($AJ597,Data_Validation!$A:$E,5,0)</f>
        <v>Oui</v>
      </c>
    </row>
    <row r="598" spans="1:52" ht="15" customHeight="1">
      <c r="A598" s="706" t="s">
        <v>1148</v>
      </c>
      <c r="B598" s="706">
        <v>2025</v>
      </c>
      <c r="C598" s="706" t="s">
        <v>2412</v>
      </c>
      <c r="D598" s="706" t="s">
        <v>2413</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905" t="str">
        <f t="shared" si="60"/>
        <v>G45020</v>
      </c>
      <c r="AK598" s="905" t="str">
        <f t="shared" si="61"/>
        <v>VTES-CAM USAGE OPT. -LOC.</v>
      </c>
      <c r="AL598" s="905">
        <f>IFERROR(INDEX(G598:R598,1,MATCH(Parametres!$B$3,G$1:R$1,0)-1)*IF(OR(F598="L",F598="S",F598="I"),-1,1),"")</f>
        <v>0</v>
      </c>
      <c r="AM598" s="905">
        <f t="shared" si="56"/>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57"/>
        <v>G45020</v>
      </c>
      <c r="AU598" s="488" t="str">
        <f t="shared" si="58"/>
        <v>VTES-CAM USAGE OPT. -LOC.</v>
      </c>
      <c r="AV598" s="899">
        <f>IFERROR(INDEX(V598:AG598,1,MATCH(Parametres!$B$3,V$1:AG$1,0)-1)*IF(OR(C598="L",C598="S",C598="I"),-1,1),"")</f>
        <v>0</v>
      </c>
      <c r="AW598" s="899">
        <f t="shared" si="59"/>
        <v>0</v>
      </c>
      <c r="AX598" s="899">
        <f>INDEX(V598:AG598,1,MATCH(Parametres!$B$3,V$1:AG$1,0))*IF(OR(C598="L",C598="S",C598="I"),-1,1)</f>
        <v>0</v>
      </c>
      <c r="AY598" s="487" t="s">
        <v>337</v>
      </c>
      <c r="AZ598" s="487" t="e">
        <f>+VLOOKUP($AJ598,Data_Validation!$A:$E,5,0)</f>
        <v>#N/A</v>
      </c>
    </row>
    <row r="599" spans="1:52" ht="15" customHeight="1">
      <c r="A599" s="706" t="s">
        <v>1148</v>
      </c>
      <c r="B599" s="706">
        <v>2025</v>
      </c>
      <c r="C599" s="706" t="s">
        <v>2414</v>
      </c>
      <c r="D599" s="706" t="s">
        <v>2415</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905" t="str">
        <f t="shared" si="60"/>
        <v>G45100</v>
      </c>
      <c r="AK599" s="905" t="str">
        <f t="shared" si="61"/>
        <v>*REM.NEUF CAM DET. OPT.</v>
      </c>
      <c r="AL599" s="905">
        <f>IFERROR(INDEX(G599:R599,1,MATCH(Parametres!$B$3,G$1:R$1,0)-1)*IF(OR(F599="L",F599="S",F599="I"),-1,1),"")</f>
        <v>0</v>
      </c>
      <c r="AM599" s="905">
        <f t="shared" si="56"/>
        <v>0</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57"/>
        <v>G45100</v>
      </c>
      <c r="AU599" s="488" t="str">
        <f t="shared" si="58"/>
        <v>*REM.NEUF CAM DET. OPT.</v>
      </c>
      <c r="AV599" s="899">
        <f>IFERROR(INDEX(V599:AG599,1,MATCH(Parametres!$B$3,V$1:AG$1,0)-1)*IF(OR(C599="L",C599="S",C599="I"),-1,1),"")</f>
        <v>0</v>
      </c>
      <c r="AW599" s="899">
        <f t="shared" si="59"/>
        <v>0</v>
      </c>
      <c r="AX599" s="899">
        <f>INDEX(V599:AG599,1,MATCH(Parametres!$B$3,V$1:AG$1,0))*IF(OR(C599="L",C599="S",C599="I"),-1,1)</f>
        <v>0</v>
      </c>
      <c r="AY599" s="487" t="s">
        <v>337</v>
      </c>
      <c r="AZ599" s="487">
        <f>+VLOOKUP($AJ599,Data_Validation!$A:$E,5,0)</f>
        <v>0</v>
      </c>
    </row>
    <row r="600" spans="1:52" ht="15" customHeight="1">
      <c r="A600" s="706" t="s">
        <v>1148</v>
      </c>
      <c r="B600" s="706">
        <v>2025</v>
      </c>
      <c r="C600" s="706" t="s">
        <v>2416</v>
      </c>
      <c r="D600" s="706" t="s">
        <v>2417</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905" t="str">
        <f t="shared" si="60"/>
        <v>G45101</v>
      </c>
      <c r="AK600" s="905" t="str">
        <f t="shared" si="61"/>
        <v>*REM.NEUF CAM DET.AUTRES</v>
      </c>
      <c r="AL600" s="905">
        <f>IFERROR(INDEX(G600:R600,1,MATCH(Parametres!$B$3,G$1:R$1,0)-1)*IF(OR(F600="L",F600="S",F600="I"),-1,1),"")</f>
        <v>0</v>
      </c>
      <c r="AM600" s="905">
        <f t="shared" si="56"/>
        <v>0</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57"/>
        <v>G45101</v>
      </c>
      <c r="AU600" s="488" t="str">
        <f t="shared" si="58"/>
        <v>*REM.NEUF CAM DET.AUTRES</v>
      </c>
      <c r="AV600" s="899">
        <f>IFERROR(INDEX(V600:AG600,1,MATCH(Parametres!$B$3,V$1:AG$1,0)-1)*IF(OR(C600="L",C600="S",C600="I"),-1,1),"")</f>
        <v>0</v>
      </c>
      <c r="AW600" s="899">
        <f t="shared" si="59"/>
        <v>0</v>
      </c>
      <c r="AX600" s="899">
        <f>INDEX(V600:AG600,1,MATCH(Parametres!$B$3,V$1:AG$1,0))*IF(OR(C600="L",C600="S",C600="I"),-1,1)</f>
        <v>0</v>
      </c>
      <c r="AY600" s="487" t="s">
        <v>337</v>
      </c>
      <c r="AZ600" s="487">
        <f>+VLOOKUP($AJ600,Data_Validation!$A:$E,5,0)</f>
        <v>0</v>
      </c>
    </row>
    <row r="601" spans="1:52" ht="15" customHeight="1">
      <c r="A601" s="706" t="s">
        <v>1148</v>
      </c>
      <c r="B601" s="706">
        <v>2025</v>
      </c>
      <c r="C601" s="706" t="s">
        <v>2418</v>
      </c>
      <c r="D601" s="706" t="s">
        <v>2419</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905" t="str">
        <f t="shared" si="60"/>
        <v>G45120</v>
      </c>
      <c r="AK601" s="905" t="str">
        <f t="shared" si="61"/>
        <v>*REM.NEUF LOC.CAM.DET.OPT</v>
      </c>
      <c r="AL601" s="905">
        <f>IFERROR(INDEX(G601:R601,1,MATCH(Parametres!$B$3,G$1:R$1,0)-1)*IF(OR(F601="L",F601="S",F601="I"),-1,1),"")</f>
        <v>0</v>
      </c>
      <c r="AM601" s="905">
        <f t="shared" si="56"/>
        <v>0</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57"/>
        <v>G45120</v>
      </c>
      <c r="AU601" s="488" t="str">
        <f t="shared" si="58"/>
        <v>*REM.NEUF LOC.CAM.DET.OPT</v>
      </c>
      <c r="AV601" s="899">
        <f>IFERROR(INDEX(V601:AG601,1,MATCH(Parametres!$B$3,V$1:AG$1,0)-1)*IF(OR(C601="L",C601="S",C601="I"),-1,1),"")</f>
        <v>0</v>
      </c>
      <c r="AW601" s="899">
        <f t="shared" si="59"/>
        <v>0</v>
      </c>
      <c r="AX601" s="899">
        <f>INDEX(V601:AG601,1,MATCH(Parametres!$B$3,V$1:AG$1,0))*IF(OR(C601="L",C601="S",C601="I"),-1,1)</f>
        <v>0</v>
      </c>
      <c r="AY601" s="487" t="s">
        <v>337</v>
      </c>
      <c r="AZ601" s="487">
        <f>+VLOOKUP($AJ601,Data_Validation!$A:$E,5,0)</f>
        <v>0</v>
      </c>
    </row>
    <row r="602" spans="1:52" ht="15" hidden="1" customHeight="1">
      <c r="A602" s="706" t="s">
        <v>1148</v>
      </c>
      <c r="B602" s="706">
        <v>2025</v>
      </c>
      <c r="C602" s="706" t="s">
        <v>2420</v>
      </c>
      <c r="D602" s="706" t="s">
        <v>2421</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905" t="str">
        <f t="shared" si="60"/>
        <v>G45200</v>
      </c>
      <c r="AK602" s="905" t="str">
        <f t="shared" si="61"/>
        <v>VTES-CAMIONS OCC EN GROS</v>
      </c>
      <c r="AL602" s="905">
        <f>IFERROR(INDEX(G602:R602,1,MATCH(Parametres!$B$3,G$1:R$1,0)-1)*IF(OR(F602="L",F602="S",F602="I"),-1,1),"")</f>
        <v>-18842344.16</v>
      </c>
      <c r="AM602" s="905">
        <f t="shared" si="56"/>
        <v>-1056415.0100000016</v>
      </c>
      <c r="AN602" s="905">
        <f>INDEX(G602:R602,1,MATCH(Parametres!$B$3,G$1:R$1,0))*IF(OR(F602="L",F602="S",F602="I"),-1,1)</f>
        <v>-19898759.170000002</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57"/>
        <v>G45200</v>
      </c>
      <c r="AU602" s="488" t="str">
        <f t="shared" si="58"/>
        <v>VTES-CAMIONS OCC EN GROS</v>
      </c>
      <c r="AV602" s="899">
        <f>IFERROR(INDEX(V602:AG602,1,MATCH(Parametres!$B$3,V$1:AG$1,0)-1)*IF(OR(C602="L",C602="S",C602="I"),-1,1),"")</f>
        <v>476</v>
      </c>
      <c r="AW602" s="899">
        <f t="shared" si="59"/>
        <v>34</v>
      </c>
      <c r="AX602" s="899">
        <f>INDEX(V602:AG602,1,MATCH(Parametres!$B$3,V$1:AG$1,0))*IF(OR(C602="L",C602="S",C602="I"),-1,1)</f>
        <v>510</v>
      </c>
      <c r="AY602" s="487" t="s">
        <v>337</v>
      </c>
      <c r="AZ602" s="487" t="str">
        <f>+VLOOKUP($AJ602,Data_Validation!$A:$E,5,0)</f>
        <v>Oui</v>
      </c>
    </row>
    <row r="603" spans="1:52" ht="15" hidden="1" customHeight="1">
      <c r="A603" s="706" t="s">
        <v>1148</v>
      </c>
      <c r="B603" s="706">
        <v>2025</v>
      </c>
      <c r="C603" s="706" t="s">
        <v>2422</v>
      </c>
      <c r="D603" s="706" t="s">
        <v>2423</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905" t="str">
        <f t="shared" si="60"/>
        <v>G45201</v>
      </c>
      <c r="AK603" s="905" t="str">
        <f t="shared" si="61"/>
        <v>VTES - WHOLESALE W</v>
      </c>
      <c r="AL603" s="905">
        <f>IFERROR(INDEX(G603:R603,1,MATCH(Parametres!$B$3,G$1:R$1,0)-1)*IF(OR(F603="L",F603="S",F603="I"),-1,1),"")</f>
        <v>-23673770</v>
      </c>
      <c r="AM603" s="905">
        <f t="shared" si="56"/>
        <v>-3529100</v>
      </c>
      <c r="AN603" s="905">
        <f>INDEX(G603:R603,1,MATCH(Parametres!$B$3,G$1:R$1,0))*IF(OR(F603="L",F603="S",F603="I"),-1,1)</f>
        <v>-27202870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57"/>
        <v>G45201</v>
      </c>
      <c r="AU603" s="488" t="str">
        <f t="shared" si="58"/>
        <v>VTES - WHOLESALE W</v>
      </c>
      <c r="AV603" s="899">
        <f>IFERROR(INDEX(V603:AG603,1,MATCH(Parametres!$B$3,V$1:AG$1,0)-1)*IF(OR(C603="L",C603="S",C603="I"),-1,1),"")</f>
        <v>175</v>
      </c>
      <c r="AW603" s="899">
        <f t="shared" si="59"/>
        <v>16</v>
      </c>
      <c r="AX603" s="899">
        <f>INDEX(V603:AG603,1,MATCH(Parametres!$B$3,V$1:AG$1,0))*IF(OR(C603="L",C603="S",C603="I"),-1,1)</f>
        <v>191</v>
      </c>
      <c r="AY603" s="487" t="s">
        <v>337</v>
      </c>
      <c r="AZ603" s="487" t="str">
        <f>+VLOOKUP($AJ603,Data_Validation!$A:$E,5,0)</f>
        <v>Oui</v>
      </c>
    </row>
    <row r="604" spans="1:52" ht="15" customHeight="1">
      <c r="A604" s="706" t="s">
        <v>1148</v>
      </c>
      <c r="B604" s="706">
        <v>2025</v>
      </c>
      <c r="C604" s="706" t="s">
        <v>2424</v>
      </c>
      <c r="D604" s="706" t="s">
        <v>2425</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905" t="str">
        <f t="shared" si="60"/>
        <v>G45300</v>
      </c>
      <c r="AK604" s="905" t="str">
        <f t="shared" si="61"/>
        <v>*RECTIFICATION/STOK/TRUCK</v>
      </c>
      <c r="AL604" s="905">
        <f>IFERROR(INDEX(G604:R604,1,MATCH(Parametres!$B$3,G$1:R$1,0)-1)*IF(OR(F604="L",F604="S",F604="I"),-1,1),"")</f>
        <v>0</v>
      </c>
      <c r="AM604" s="905">
        <f t="shared" si="56"/>
        <v>0</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57"/>
        <v>G45300</v>
      </c>
      <c r="AU604" s="488" t="str">
        <f t="shared" si="58"/>
        <v>*RECTIFICATION/STOK/TRUCK</v>
      </c>
      <c r="AV604" s="899">
        <f>IFERROR(INDEX(V604:AG604,1,MATCH(Parametres!$B$3,V$1:AG$1,0)-1)*IF(OR(C604="L",C604="S",C604="I"),-1,1),"")</f>
        <v>0</v>
      </c>
      <c r="AW604" s="899">
        <f t="shared" si="59"/>
        <v>0</v>
      </c>
      <c r="AX604" s="899">
        <f>INDEX(V604:AG604,1,MATCH(Parametres!$B$3,V$1:AG$1,0))*IF(OR(C604="L",C604="S",C604="I"),-1,1)</f>
        <v>0</v>
      </c>
      <c r="AY604" s="487" t="s">
        <v>337</v>
      </c>
      <c r="AZ604" s="487">
        <f>+VLOOKUP($AJ604,Data_Validation!$A:$E,5,0)</f>
        <v>0</v>
      </c>
    </row>
    <row r="605" spans="1:52" ht="15" hidden="1" customHeight="1">
      <c r="A605" s="706" t="s">
        <v>1148</v>
      </c>
      <c r="B605" s="706">
        <v>2025</v>
      </c>
      <c r="C605" s="706" t="s">
        <v>2426</v>
      </c>
      <c r="D605" s="706" t="s">
        <v>2427</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905" t="str">
        <f t="shared" si="60"/>
        <v>G45400</v>
      </c>
      <c r="AK605" s="905" t="str">
        <f t="shared" si="61"/>
        <v>VTES-PLAN PROTECTION USAG</v>
      </c>
      <c r="AL605" s="905">
        <f>IFERROR(INDEX(G605:R605,1,MATCH(Parametres!$B$3,G$1:R$1,0)-1)*IF(OR(F605="L",F605="S",F605="I"),-1,1),"")</f>
        <v>-111174</v>
      </c>
      <c r="AM605" s="905">
        <f t="shared" si="56"/>
        <v>-24448</v>
      </c>
      <c r="AN605" s="905">
        <f>INDEX(G605:R605,1,MATCH(Parametres!$B$3,G$1:R$1,0))*IF(OR(F605="L",F605="S",F605="I"),-1,1)</f>
        <v>-135622</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57"/>
        <v>G45400</v>
      </c>
      <c r="AU605" s="488" t="str">
        <f t="shared" si="58"/>
        <v>VTES-PLAN PROTECTION USAG</v>
      </c>
      <c r="AV605" s="899">
        <f>IFERROR(INDEX(V605:AG605,1,MATCH(Parametres!$B$3,V$1:AG$1,0)-1)*IF(OR(C605="L",C605="S",C605="I"),-1,1),"")</f>
        <v>34</v>
      </c>
      <c r="AW605" s="899">
        <f t="shared" si="59"/>
        <v>7</v>
      </c>
      <c r="AX605" s="899">
        <f>INDEX(V605:AG605,1,MATCH(Parametres!$B$3,V$1:AG$1,0))*IF(OR(C605="L",C605="S",C605="I"),-1,1)</f>
        <v>41</v>
      </c>
      <c r="AY605" s="487" t="s">
        <v>337</v>
      </c>
      <c r="AZ605" s="487" t="str">
        <f>+VLOOKUP($AJ605,Data_Validation!$A:$E,5,0)</f>
        <v>Oui</v>
      </c>
    </row>
    <row r="606" spans="1:52" ht="15" hidden="1" customHeight="1">
      <c r="A606" s="706" t="s">
        <v>1148</v>
      </c>
      <c r="B606" s="706">
        <v>2025</v>
      </c>
      <c r="C606" s="706" t="s">
        <v>2428</v>
      </c>
      <c r="D606" s="706" t="s">
        <v>2429</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G45500</v>
      </c>
      <c r="AK606" s="905" t="str">
        <f t="shared" si="61"/>
        <v>RETOUR DE LOCATION-VENTE</v>
      </c>
      <c r="AL606" s="905">
        <f>IFERROR(INDEX(G606:R606,1,MATCH(Parametres!$B$3,G$1:R$1,0)-1)*IF(OR(F606="L",F606="S",F606="I"),-1,1),"")</f>
        <v>0</v>
      </c>
      <c r="AM606" s="905">
        <f t="shared" si="56"/>
        <v>0</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57"/>
        <v>G45500</v>
      </c>
      <c r="AU606" s="488" t="str">
        <f t="shared" si="58"/>
        <v>RETOUR DE LOCATION-VENTE</v>
      </c>
      <c r="AV606" s="899">
        <f>IFERROR(INDEX(V606:AG606,1,MATCH(Parametres!$B$3,V$1:AG$1,0)-1)*IF(OR(C606="L",C606="S",C606="I"),-1,1),"")</f>
        <v>0</v>
      </c>
      <c r="AW606" s="899">
        <f t="shared" si="59"/>
        <v>0</v>
      </c>
      <c r="AX606" s="899">
        <f>INDEX(V606:AG606,1,MATCH(Parametres!$B$3,V$1:AG$1,0))*IF(OR(C606="L",C606="S",C606="I"),-1,1)</f>
        <v>0</v>
      </c>
      <c r="AY606" s="487" t="s">
        <v>337</v>
      </c>
      <c r="AZ606" s="487" t="str">
        <f>+VLOOKUP($AJ606,Data_Validation!$A:$E,5,0)</f>
        <v>Oui</v>
      </c>
    </row>
    <row r="607" spans="1:52" ht="15" hidden="1" customHeight="1">
      <c r="A607" s="706" t="s">
        <v>1148</v>
      </c>
      <c r="B607" s="706">
        <v>2025</v>
      </c>
      <c r="C607" s="706" t="s">
        <v>2430</v>
      </c>
      <c r="D607" s="706" t="s">
        <v>2431</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905" t="str">
        <f t="shared" si="60"/>
        <v>G45600</v>
      </c>
      <c r="AK607" s="905" t="str">
        <f t="shared" si="61"/>
        <v>VALEUR REMPL. USAGES</v>
      </c>
      <c r="AL607" s="905">
        <f>IFERROR(INDEX(G607:R607,1,MATCH(Parametres!$B$3,G$1:R$1,0)-1)*IF(OR(F607="L",F607="S",F607="I"),-1,1),"")</f>
        <v>-9449</v>
      </c>
      <c r="AM607" s="905">
        <f t="shared" si="56"/>
        <v>-3222</v>
      </c>
      <c r="AN607" s="905">
        <f>INDEX(G607:R607,1,MATCH(Parametres!$B$3,G$1:R$1,0))*IF(OR(F607="L",F607="S",F607="I"),-1,1)</f>
        <v>-12671</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57"/>
        <v>G45600</v>
      </c>
      <c r="AU607" s="488" t="str">
        <f t="shared" si="58"/>
        <v>VALEUR REMPL. USAGES</v>
      </c>
      <c r="AV607" s="899">
        <f>IFERROR(INDEX(V607:AG607,1,MATCH(Parametres!$B$3,V$1:AG$1,0)-1)*IF(OR(C607="L",C607="S",C607="I"),-1,1),"")</f>
        <v>6</v>
      </c>
      <c r="AW607" s="899">
        <f t="shared" si="59"/>
        <v>2</v>
      </c>
      <c r="AX607" s="899">
        <f>INDEX(V607:AG607,1,MATCH(Parametres!$B$3,V$1:AG$1,0))*IF(OR(C607="L",C607="S",C607="I"),-1,1)</f>
        <v>8</v>
      </c>
      <c r="AY607" s="487" t="s">
        <v>337</v>
      </c>
      <c r="AZ607" s="487" t="str">
        <f>+VLOOKUP($AJ607,Data_Validation!$A:$E,5,0)</f>
        <v>Oui</v>
      </c>
    </row>
    <row r="608" spans="1:52" ht="15" hidden="1" customHeight="1">
      <c r="A608" s="706" t="s">
        <v>1148</v>
      </c>
      <c r="B608" s="706">
        <v>2025</v>
      </c>
      <c r="C608" s="706" t="s">
        <v>2432</v>
      </c>
      <c r="D608" s="706" t="s">
        <v>2433</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905" t="str">
        <f t="shared" si="60"/>
        <v>G45601</v>
      </c>
      <c r="AK608" s="905" t="str">
        <f t="shared" si="61"/>
        <v>REV VEHICULES U.S.A</v>
      </c>
      <c r="AL608" s="905">
        <f>IFERROR(INDEX(G608:R608,1,MATCH(Parametres!$B$3,G$1:R$1,0)-1)*IF(OR(F608="L",F608="S",F608="I"),-1,1),"")</f>
        <v>-603770.98</v>
      </c>
      <c r="AM608" s="905">
        <f t="shared" si="56"/>
        <v>0</v>
      </c>
      <c r="AN608" s="905">
        <f>INDEX(G608:R608,1,MATCH(Parametres!$B$3,G$1:R$1,0))*IF(OR(F608="L",F608="S",F608="I"),-1,1)</f>
        <v>-603770.98</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57"/>
        <v>G45601</v>
      </c>
      <c r="AU608" s="488" t="str">
        <f t="shared" si="58"/>
        <v>REV VEHICULES U.S.A</v>
      </c>
      <c r="AV608" s="899">
        <f>IFERROR(INDEX(V608:AG608,1,MATCH(Parametres!$B$3,V$1:AG$1,0)-1)*IF(OR(C608="L",C608="S",C608="I"),-1,1),"")</f>
        <v>17</v>
      </c>
      <c r="AW608" s="899">
        <f t="shared" si="59"/>
        <v>0</v>
      </c>
      <c r="AX608" s="899">
        <f>INDEX(V608:AG608,1,MATCH(Parametres!$B$3,V$1:AG$1,0))*IF(OR(C608="L",C608="S",C608="I"),-1,1)</f>
        <v>17</v>
      </c>
      <c r="AY608" s="487" t="s">
        <v>337</v>
      </c>
      <c r="AZ608" s="487" t="str">
        <f>+VLOOKUP($AJ608,Data_Validation!$A:$E,5,0)</f>
        <v>Oui</v>
      </c>
    </row>
    <row r="609" spans="1:52" ht="15" hidden="1" customHeight="1">
      <c r="A609" s="706" t="s">
        <v>1148</v>
      </c>
      <c r="B609" s="706">
        <v>2025</v>
      </c>
      <c r="C609" s="706" t="s">
        <v>2434</v>
      </c>
      <c r="D609" s="706" t="s">
        <v>2435</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905" t="str">
        <f t="shared" si="60"/>
        <v>G45602</v>
      </c>
      <c r="AK609" s="905" t="str">
        <f t="shared" si="61"/>
        <v>VENTE USA -AJUSTMENT</v>
      </c>
      <c r="AL609" s="905">
        <f>IFERROR(INDEX(G609:R609,1,MATCH(Parametres!$B$3,G$1:R$1,0)-1)*IF(OR(F609="L",F609="S",F609="I"),-1,1),"")</f>
        <v>0</v>
      </c>
      <c r="AM609" s="905">
        <f t="shared" si="56"/>
        <v>0</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57"/>
        <v>G45602</v>
      </c>
      <c r="AU609" s="488" t="str">
        <f t="shared" si="58"/>
        <v>VENTE USA -AJUSTMENT</v>
      </c>
      <c r="AV609" s="899">
        <f>IFERROR(INDEX(V609:AG609,1,MATCH(Parametres!$B$3,V$1:AG$1,0)-1)*IF(OR(C609="L",C609="S",C609="I"),-1,1),"")</f>
        <v>0</v>
      </c>
      <c r="AW609" s="899">
        <f t="shared" si="59"/>
        <v>0</v>
      </c>
      <c r="AX609" s="899">
        <f>INDEX(V609:AG609,1,MATCH(Parametres!$B$3,V$1:AG$1,0))*IF(OR(C609="L",C609="S",C609="I"),-1,1)</f>
        <v>0</v>
      </c>
      <c r="AY609" s="487" t="s">
        <v>337</v>
      </c>
      <c r="AZ609" s="487" t="str">
        <f>+VLOOKUP($AJ609,Data_Validation!$A:$E,5,0)</f>
        <v>Oui</v>
      </c>
    </row>
    <row r="610" spans="1:52" ht="15" hidden="1" customHeight="1">
      <c r="A610" s="706" t="s">
        <v>1148</v>
      </c>
      <c r="B610" s="706">
        <v>2025</v>
      </c>
      <c r="C610" s="706" t="s">
        <v>2436</v>
      </c>
      <c r="D610" s="706" t="s">
        <v>2437</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905" t="str">
        <f t="shared" si="60"/>
        <v>G45603</v>
      </c>
      <c r="AK610" s="905" t="str">
        <f t="shared" si="61"/>
        <v>COUT VENTES USA</v>
      </c>
      <c r="AL610" s="905">
        <f>IFERROR(INDEX(G610:R610,1,MATCH(Parametres!$B$3,G$1:R$1,0)-1)*IF(OR(F610="L",F610="S",F610="I"),-1,1),"")</f>
        <v>-26071428.510000002</v>
      </c>
      <c r="AM610" s="905">
        <f t="shared" si="56"/>
        <v>-170585.70999999717</v>
      </c>
      <c r="AN610" s="905">
        <f>INDEX(G610:R610,1,MATCH(Parametres!$B$3,G$1:R$1,0))*IF(OR(F610="L",F610="S",F610="I"),-1,1)</f>
        <v>-26242014.219999999</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57"/>
        <v>G45603</v>
      </c>
      <c r="AU610" s="488" t="str">
        <f t="shared" si="58"/>
        <v>COUT VENTES USA</v>
      </c>
      <c r="AV610" s="899">
        <f>IFERROR(INDEX(V610:AG610,1,MATCH(Parametres!$B$3,V$1:AG$1,0)-1)*IF(OR(C610="L",C610="S",C610="I"),-1,1),"")</f>
        <v>501</v>
      </c>
      <c r="AW610" s="899">
        <f t="shared" si="59"/>
        <v>3</v>
      </c>
      <c r="AX610" s="899">
        <f>INDEX(V610:AG610,1,MATCH(Parametres!$B$3,V$1:AG$1,0))*IF(OR(C610="L",C610="S",C610="I"),-1,1)</f>
        <v>504</v>
      </c>
      <c r="AY610" s="487" t="s">
        <v>337</v>
      </c>
      <c r="AZ610" s="487" t="str">
        <f>+VLOOKUP($AJ610,Data_Validation!$A:$E,5,0)</f>
        <v>Oui</v>
      </c>
    </row>
    <row r="611" spans="1:52" ht="15" hidden="1" customHeight="1">
      <c r="A611" s="706" t="s">
        <v>1148</v>
      </c>
      <c r="B611" s="706">
        <v>2025</v>
      </c>
      <c r="C611" s="706" t="s">
        <v>2442</v>
      </c>
      <c r="D611" s="706" t="s">
        <v>2443</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905" t="str">
        <f t="shared" si="60"/>
        <v>G46010</v>
      </c>
      <c r="AK611" s="905" t="str">
        <f t="shared" si="61"/>
        <v>M-D'O CLIENT VOIT-CAM.LEG</v>
      </c>
      <c r="AL611" s="905">
        <f>IFERROR(INDEX(G611:R611,1,MATCH(Parametres!$B$3,G$1:R$1,0)-1)*IF(OR(F611="L",F611="S",F611="I"),-1,1),"")</f>
        <v>-679595.77</v>
      </c>
      <c r="AM611" s="905">
        <f t="shared" si="56"/>
        <v>-114595.27000000002</v>
      </c>
      <c r="AN611" s="905">
        <f>INDEX(G611:R611,1,MATCH(Parametres!$B$3,G$1:R$1,0))*IF(OR(F611="L",F611="S",F611="I"),-1,1)</f>
        <v>-794191.04</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57"/>
        <v>G46010</v>
      </c>
      <c r="AU611" s="488" t="str">
        <f t="shared" si="58"/>
        <v>M-D'O CLIENT VOIT-CAM.LEG</v>
      </c>
      <c r="AV611" s="899">
        <f>IFERROR(INDEX(V611:AG611,1,MATCH(Parametres!$B$3,V$1:AG$1,0)-1)*IF(OR(C611="L",C611="S",C611="I"),-1,1),"")</f>
        <v>1737</v>
      </c>
      <c r="AW611" s="899">
        <f t="shared" si="59"/>
        <v>278</v>
      </c>
      <c r="AX611" s="899">
        <f>INDEX(V611:AG611,1,MATCH(Parametres!$B$3,V$1:AG$1,0))*IF(OR(C611="L",C611="S",C611="I"),-1,1)</f>
        <v>2015</v>
      </c>
      <c r="AY611" s="487" t="s">
        <v>337</v>
      </c>
      <c r="AZ611" s="487" t="str">
        <f>+VLOOKUP($AJ611,Data_Validation!$A:$E,5,0)</f>
        <v>Oui</v>
      </c>
    </row>
    <row r="612" spans="1:52" ht="15" hidden="1" customHeight="1">
      <c r="A612" s="706" t="s">
        <v>1148</v>
      </c>
      <c r="B612" s="706">
        <v>2025</v>
      </c>
      <c r="C612" s="706" t="s">
        <v>2444</v>
      </c>
      <c r="D612" s="706" t="s">
        <v>2445</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G46020</v>
      </c>
      <c r="AK612" s="905" t="str">
        <f t="shared" si="61"/>
        <v>CONT.SER-VOIT &amp; CAM.LEGER</v>
      </c>
      <c r="AL612" s="905">
        <f>IFERROR(INDEX(G612:R612,1,MATCH(Parametres!$B$3,G$1:R$1,0)-1)*IF(OR(F612="L",F612="S",F612="I"),-1,1),"")</f>
        <v>0</v>
      </c>
      <c r="AM612" s="905">
        <f t="shared" si="56"/>
        <v>0</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57"/>
        <v>G46020</v>
      </c>
      <c r="AU612" s="488" t="str">
        <f t="shared" si="58"/>
        <v>CONT.SER-VOIT &amp; CAM.LEGER</v>
      </c>
      <c r="AV612" s="899">
        <f>IFERROR(INDEX(V612:AG612,1,MATCH(Parametres!$B$3,V$1:AG$1,0)-1)*IF(OR(C612="L",C612="S",C612="I"),-1,1),"")</f>
        <v>0</v>
      </c>
      <c r="AW612" s="899">
        <f t="shared" si="59"/>
        <v>0</v>
      </c>
      <c r="AX612" s="899">
        <f>INDEX(V612:AG612,1,MATCH(Parametres!$B$3,V$1:AG$1,0))*IF(OR(C612="L",C612="S",C612="I"),-1,1)</f>
        <v>0</v>
      </c>
      <c r="AY612" s="487" t="s">
        <v>337</v>
      </c>
      <c r="AZ612" s="487" t="str">
        <f>+VLOOKUP($AJ612,Data_Validation!$A:$E,5,0)</f>
        <v>Oui</v>
      </c>
    </row>
    <row r="613" spans="1:52" ht="15" customHeight="1">
      <c r="A613" s="706" t="s">
        <v>1148</v>
      </c>
      <c r="B613" s="706">
        <v>2025</v>
      </c>
      <c r="C613" s="706" t="s">
        <v>2446</v>
      </c>
      <c r="D613" s="706" t="s">
        <v>2447</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905" t="str">
        <f t="shared" si="60"/>
        <v>G46030</v>
      </c>
      <c r="AK613" s="905" t="str">
        <f t="shared" si="61"/>
        <v>VTES-M.D.PL.PROT.AUT.AUTO</v>
      </c>
      <c r="AL613" s="905">
        <f>IFERROR(INDEX(G613:R613,1,MATCH(Parametres!$B$3,G$1:R$1,0)-1)*IF(OR(F613="L",F613="S",F613="I"),-1,1),"")</f>
        <v>0</v>
      </c>
      <c r="AM613" s="905">
        <f t="shared" si="56"/>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57"/>
        <v>G46030</v>
      </c>
      <c r="AU613" s="488" t="str">
        <f t="shared" si="58"/>
        <v>VTES-M.D.PL.PROT.AUT.AUTO</v>
      </c>
      <c r="AV613" s="899">
        <f>IFERROR(INDEX(V613:AG613,1,MATCH(Parametres!$B$3,V$1:AG$1,0)-1)*IF(OR(C613="L",C613="S",C613="I"),-1,1),"")</f>
        <v>0</v>
      </c>
      <c r="AW613" s="899">
        <f t="shared" si="59"/>
        <v>0</v>
      </c>
      <c r="AX613" s="899">
        <f>INDEX(V613:AG613,1,MATCH(Parametres!$B$3,V$1:AG$1,0))*IF(OR(C613="L",C613="S",C613="I"),-1,1)</f>
        <v>0</v>
      </c>
      <c r="AY613" s="487" t="s">
        <v>337</v>
      </c>
      <c r="AZ613" s="487" t="e">
        <f>+VLOOKUP($AJ613,Data_Validation!$A:$E,5,0)</f>
        <v>#N/A</v>
      </c>
    </row>
    <row r="614" spans="1:52" ht="15" hidden="1" customHeight="1">
      <c r="A614" s="706" t="s">
        <v>1148</v>
      </c>
      <c r="B614" s="706">
        <v>2025</v>
      </c>
      <c r="C614" s="706" t="s">
        <v>2448</v>
      </c>
      <c r="D614" s="706" t="s">
        <v>2449</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905" t="str">
        <f t="shared" si="60"/>
        <v>G46040</v>
      </c>
      <c r="AK614" s="905" t="str">
        <f t="shared" si="61"/>
        <v>SERV. RAPIDE VOIT CAM.LEG</v>
      </c>
      <c r="AL614" s="905">
        <f>IFERROR(INDEX(G614:R614,1,MATCH(Parametres!$B$3,G$1:R$1,0)-1)*IF(OR(F614="L",F614="S",F614="I"),-1,1),"")</f>
        <v>-69727.86</v>
      </c>
      <c r="AM614" s="905">
        <f t="shared" si="56"/>
        <v>-3253.8899999999994</v>
      </c>
      <c r="AN614" s="905">
        <f>INDEX(G614:R614,1,MATCH(Parametres!$B$3,G$1:R$1,0))*IF(OR(F614="L",F614="S",F614="I"),-1,1)</f>
        <v>-72981.75</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57"/>
        <v>G46040</v>
      </c>
      <c r="AU614" s="488" t="str">
        <f t="shared" si="58"/>
        <v>SERV. RAPIDE VOIT CAM.LEG</v>
      </c>
      <c r="AV614" s="899">
        <f>IFERROR(INDEX(V614:AG614,1,MATCH(Parametres!$B$3,V$1:AG$1,0)-1)*IF(OR(C614="L",C614="S",C614="I"),-1,1),"")</f>
        <v>353</v>
      </c>
      <c r="AW614" s="899">
        <f t="shared" si="59"/>
        <v>17</v>
      </c>
      <c r="AX614" s="899">
        <f>INDEX(V614:AG614,1,MATCH(Parametres!$B$3,V$1:AG$1,0))*IF(OR(C614="L",C614="S",C614="I"),-1,1)</f>
        <v>370</v>
      </c>
      <c r="AY614" s="487" t="s">
        <v>337</v>
      </c>
      <c r="AZ614" s="487" t="str">
        <f>+VLOOKUP($AJ614,Data_Validation!$A:$E,5,0)</f>
        <v>Oui</v>
      </c>
    </row>
    <row r="615" spans="1:52" ht="15" hidden="1" customHeight="1">
      <c r="A615" s="706" t="s">
        <v>1148</v>
      </c>
      <c r="B615" s="706">
        <v>2025</v>
      </c>
      <c r="C615" s="706" t="s">
        <v>2450</v>
      </c>
      <c r="D615" s="706" t="s">
        <v>2451</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905" t="str">
        <f t="shared" si="60"/>
        <v>G46110</v>
      </c>
      <c r="AK615" s="905" t="str">
        <f t="shared" si="61"/>
        <v>M-D'O CLIENT S.A.A.Q</v>
      </c>
      <c r="AL615" s="905">
        <f>IFERROR(INDEX(G615:R615,1,MATCH(Parametres!$B$3,G$1:R$1,0)-1)*IF(OR(F615="L",F615="S",F615="I"),-1,1),"")</f>
        <v>-744770.88</v>
      </c>
      <c r="AM615" s="905">
        <f t="shared" si="56"/>
        <v>-85221.689999999944</v>
      </c>
      <c r="AN615" s="905">
        <f>INDEX(G615:R615,1,MATCH(Parametres!$B$3,G$1:R$1,0))*IF(OR(F615="L",F615="S",F615="I"),-1,1)</f>
        <v>-829992.57</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57"/>
        <v>G46110</v>
      </c>
      <c r="AU615" s="488" t="str">
        <f t="shared" si="58"/>
        <v>M-D'O CLIENT S.A.A.Q</v>
      </c>
      <c r="AV615" s="899">
        <f>IFERROR(INDEX(V615:AG615,1,MATCH(Parametres!$B$3,V$1:AG$1,0)-1)*IF(OR(C615="L",C615="S",C615="I"),-1,1),"")</f>
        <v>5062</v>
      </c>
      <c r="AW615" s="899">
        <f t="shared" si="59"/>
        <v>551</v>
      </c>
      <c r="AX615" s="899">
        <f>INDEX(V615:AG615,1,MATCH(Parametres!$B$3,V$1:AG$1,0))*IF(OR(C615="L",C615="S",C615="I"),-1,1)</f>
        <v>5613</v>
      </c>
      <c r="AY615" s="487" t="s">
        <v>337</v>
      </c>
      <c r="AZ615" s="487" t="str">
        <f>+VLOOKUP($AJ615,Data_Validation!$A:$E,5,0)</f>
        <v>Oui</v>
      </c>
    </row>
    <row r="616" spans="1:52" ht="15" hidden="1" customHeight="1">
      <c r="A616" s="706" t="s">
        <v>1148</v>
      </c>
      <c r="B616" s="706">
        <v>2025</v>
      </c>
      <c r="C616" s="706" t="s">
        <v>2452</v>
      </c>
      <c r="D616" s="706" t="s">
        <v>2453</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G46120</v>
      </c>
      <c r="AK616" s="905" t="str">
        <f t="shared" si="61"/>
        <v>M-D'O.CLAIM POIDS MOYENS</v>
      </c>
      <c r="AL616" s="905">
        <f>IFERROR(INDEX(G616:R616,1,MATCH(Parametres!$B$3,G$1:R$1,0)-1)*IF(OR(F616="L",F616="S",F616="I"),-1,1),"")</f>
        <v>0</v>
      </c>
      <c r="AM616" s="905">
        <f t="shared" si="56"/>
        <v>0</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57"/>
        <v>G46120</v>
      </c>
      <c r="AU616" s="488" t="str">
        <f t="shared" si="58"/>
        <v>M-D'O.CLAIM POIDS MOYENS</v>
      </c>
      <c r="AV616" s="899">
        <f>IFERROR(INDEX(V616:AG616,1,MATCH(Parametres!$B$3,V$1:AG$1,0)-1)*IF(OR(C616="L",C616="S",C616="I"),-1,1),"")</f>
        <v>0</v>
      </c>
      <c r="AW616" s="899">
        <f t="shared" si="59"/>
        <v>0</v>
      </c>
      <c r="AX616" s="899">
        <f>INDEX(V616:AG616,1,MATCH(Parametres!$B$3,V$1:AG$1,0))*IF(OR(C616="L",C616="S",C616="I"),-1,1)</f>
        <v>0</v>
      </c>
      <c r="AY616" s="487" t="s">
        <v>337</v>
      </c>
      <c r="AZ616" s="487" t="str">
        <f>+VLOOKUP($AJ616,Data_Validation!$A:$E,5,0)</f>
        <v>Oui</v>
      </c>
    </row>
    <row r="617" spans="1:52" ht="15" hidden="1" customHeight="1">
      <c r="A617" s="706" t="s">
        <v>1148</v>
      </c>
      <c r="B617" s="706">
        <v>2025</v>
      </c>
      <c r="C617" s="706" t="s">
        <v>2454</v>
      </c>
      <c r="D617" s="706" t="s">
        <v>2455</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G46140</v>
      </c>
      <c r="AK617" s="905" t="str">
        <f t="shared" si="61"/>
        <v>M/O VOLVO BODY</v>
      </c>
      <c r="AL617" s="905">
        <f>IFERROR(INDEX(G617:R617,1,MATCH(Parametres!$B$3,G$1:R$1,0)-1)*IF(OR(F617="L",F617="S",F617="I"),-1,1),"")</f>
        <v>0</v>
      </c>
      <c r="AM617" s="905">
        <f t="shared" si="56"/>
        <v>0</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57"/>
        <v>G46140</v>
      </c>
      <c r="AU617" s="488" t="str">
        <f t="shared" si="58"/>
        <v>M/O VOLVO BODY</v>
      </c>
      <c r="AV617" s="899">
        <f>IFERROR(INDEX(V617:AG617,1,MATCH(Parametres!$B$3,V$1:AG$1,0)-1)*IF(OR(C617="L",C617="S",C617="I"),-1,1),"")</f>
        <v>0</v>
      </c>
      <c r="AW617" s="899">
        <f t="shared" si="59"/>
        <v>0</v>
      </c>
      <c r="AX617" s="899">
        <f>INDEX(V617:AG617,1,MATCH(Parametres!$B$3,V$1:AG$1,0))*IF(OR(C617="L",C617="S",C617="I"),-1,1)</f>
        <v>0</v>
      </c>
      <c r="AY617" s="487" t="s">
        <v>337</v>
      </c>
      <c r="AZ617" s="487" t="str">
        <f>+VLOOKUP($AJ617,Data_Validation!$A:$E,5,0)</f>
        <v>Oui</v>
      </c>
    </row>
    <row r="618" spans="1:52" ht="15" hidden="1" customHeight="1">
      <c r="A618" s="706" t="s">
        <v>1148</v>
      </c>
      <c r="B618" s="706">
        <v>2025</v>
      </c>
      <c r="C618" s="706" t="s">
        <v>2456</v>
      </c>
      <c r="D618" s="706" t="s">
        <v>2457</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905" t="str">
        <f t="shared" si="60"/>
        <v>G46200</v>
      </c>
      <c r="AK618" s="905" t="str">
        <f t="shared" si="61"/>
        <v>VTES-M.D.RECL.GARANTIE</v>
      </c>
      <c r="AL618" s="905">
        <f>IFERROR(INDEX(G618:R618,1,MATCH(Parametres!$B$3,G$1:R$1,0)-1)*IF(OR(F618="L",F618="S",F618="I"),-1,1),"")</f>
        <v>-463669.26</v>
      </c>
      <c r="AM618" s="905">
        <f t="shared" si="56"/>
        <v>-51397.539999999979</v>
      </c>
      <c r="AN618" s="905">
        <f>INDEX(G618:R618,1,MATCH(Parametres!$B$3,G$1:R$1,0))*IF(OR(F618="L",F618="S",F618="I"),-1,1)</f>
        <v>-515066.8</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57"/>
        <v>G46200</v>
      </c>
      <c r="AU618" s="488" t="str">
        <f t="shared" si="58"/>
        <v>VTES-M.D.RECL.GARANTIE</v>
      </c>
      <c r="AV618" s="899">
        <f>IFERROR(INDEX(V618:AG618,1,MATCH(Parametres!$B$3,V$1:AG$1,0)-1)*IF(OR(C618="L",C618="S",C618="I"),-1,1),"")</f>
        <v>2946</v>
      </c>
      <c r="AW618" s="899">
        <f t="shared" si="59"/>
        <v>360</v>
      </c>
      <c r="AX618" s="899">
        <f>INDEX(V618:AG618,1,MATCH(Parametres!$B$3,V$1:AG$1,0))*IF(OR(C618="L",C618="S",C618="I"),-1,1)</f>
        <v>3306</v>
      </c>
      <c r="AY618" s="487" t="s">
        <v>337</v>
      </c>
      <c r="AZ618" s="487" t="str">
        <f>+VLOOKUP($AJ618,Data_Validation!$A:$E,5,0)</f>
        <v>Oui</v>
      </c>
    </row>
    <row r="619" spans="1:52" ht="15" hidden="1" customHeight="1">
      <c r="A619" s="706" t="s">
        <v>1148</v>
      </c>
      <c r="B619" s="706">
        <v>2025</v>
      </c>
      <c r="C619" s="706" t="s">
        <v>2458</v>
      </c>
      <c r="D619" s="706" t="s">
        <v>2459</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905" t="str">
        <f t="shared" si="60"/>
        <v>G46300</v>
      </c>
      <c r="AK619" s="905" t="str">
        <f t="shared" si="61"/>
        <v>VTES-M.D. INTERNE SERV.</v>
      </c>
      <c r="AL619" s="905">
        <f>IFERROR(INDEX(G619:R619,1,MATCH(Parametres!$B$3,G$1:R$1,0)-1)*IF(OR(F619="L",F619="S",F619="I"),-1,1),"")</f>
        <v>-368585.1</v>
      </c>
      <c r="AM619" s="905">
        <f t="shared" si="56"/>
        <v>-47696.430000000051</v>
      </c>
      <c r="AN619" s="905">
        <f>INDEX(G619:R619,1,MATCH(Parametres!$B$3,G$1:R$1,0))*IF(OR(F619="L",F619="S",F619="I"),-1,1)</f>
        <v>-416281.53</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57"/>
        <v>G46300</v>
      </c>
      <c r="AU619" s="488" t="str">
        <f t="shared" si="58"/>
        <v>VTES-M.D. INTERNE SERV.</v>
      </c>
      <c r="AV619" s="899">
        <f>IFERROR(INDEX(V619:AG619,1,MATCH(Parametres!$B$3,V$1:AG$1,0)-1)*IF(OR(C619="L",C619="S",C619="I"),-1,1),"")</f>
        <v>2937</v>
      </c>
      <c r="AW619" s="899">
        <f t="shared" si="59"/>
        <v>367</v>
      </c>
      <c r="AX619" s="899">
        <f>INDEX(V619:AG619,1,MATCH(Parametres!$B$3,V$1:AG$1,0))*IF(OR(C619="L",C619="S",C619="I"),-1,1)</f>
        <v>3304</v>
      </c>
      <c r="AY619" s="487" t="s">
        <v>337</v>
      </c>
      <c r="AZ619" s="487" t="str">
        <f>+VLOOKUP($AJ619,Data_Validation!$A:$E,5,0)</f>
        <v>Oui</v>
      </c>
    </row>
    <row r="620" spans="1:52" ht="15" hidden="1" customHeight="1">
      <c r="A620" s="706" t="s">
        <v>1148</v>
      </c>
      <c r="B620" s="706">
        <v>2025</v>
      </c>
      <c r="C620" s="706" t="s">
        <v>2460</v>
      </c>
      <c r="D620" s="706" t="s">
        <v>2461</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905" t="str">
        <f t="shared" si="60"/>
        <v>G46320</v>
      </c>
      <c r="AK620" s="905" t="str">
        <f t="shared" si="61"/>
        <v>VTES-MO INTERN CAM MOYEN</v>
      </c>
      <c r="AL620" s="905">
        <f>IFERROR(INDEX(G620:R620,1,MATCH(Parametres!$B$3,G$1:R$1,0)-1)*IF(OR(F620="L",F620="S",F620="I"),-1,1),"")</f>
        <v>-9155</v>
      </c>
      <c r="AM620" s="905">
        <f t="shared" si="56"/>
        <v>-1855</v>
      </c>
      <c r="AN620" s="905">
        <f>INDEX(G620:R620,1,MATCH(Parametres!$B$3,G$1:R$1,0))*IF(OR(F620="L",F620="S",F620="I"),-1,1)</f>
        <v>-11010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57"/>
        <v>G46320</v>
      </c>
      <c r="AU620" s="488" t="str">
        <f t="shared" si="58"/>
        <v>VTES-MO INTERN CAM MOYEN</v>
      </c>
      <c r="AV620" s="899">
        <f>IFERROR(INDEX(V620:AG620,1,MATCH(Parametres!$B$3,V$1:AG$1,0)-1)*IF(OR(C620="L",C620="S",C620="I"),-1,1),"")</f>
        <v>77</v>
      </c>
      <c r="AW620" s="899">
        <f t="shared" si="59"/>
        <v>15</v>
      </c>
      <c r="AX620" s="899">
        <f>INDEX(V620:AG620,1,MATCH(Parametres!$B$3,V$1:AG$1,0))*IF(OR(C620="L",C620="S",C620="I"),-1,1)</f>
        <v>92</v>
      </c>
      <c r="AY620" s="487" t="s">
        <v>337</v>
      </c>
      <c r="AZ620" s="487" t="str">
        <f>+VLOOKUP($AJ620,Data_Validation!$A:$E,5,0)</f>
        <v>Oui</v>
      </c>
    </row>
    <row r="621" spans="1:52" ht="15" hidden="1" customHeight="1">
      <c r="A621" s="706" t="s">
        <v>1148</v>
      </c>
      <c r="B621" s="706">
        <v>2025</v>
      </c>
      <c r="C621" s="706" t="s">
        <v>2462</v>
      </c>
      <c r="D621" s="706" t="s">
        <v>2463</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905" t="str">
        <f t="shared" si="60"/>
        <v>G46400</v>
      </c>
      <c r="AK621" s="905" t="str">
        <f t="shared" si="61"/>
        <v>VTES-M.D. INSPECTION</v>
      </c>
      <c r="AL621" s="905">
        <f>IFERROR(INDEX(G621:R621,1,MATCH(Parametres!$B$3,G$1:R$1,0)-1)*IF(OR(F621="L",F621="S",F621="I"),-1,1),"")</f>
        <v>-278212.81</v>
      </c>
      <c r="AM621" s="905">
        <f t="shared" si="56"/>
        <v>-33101.119999999995</v>
      </c>
      <c r="AN621" s="905">
        <f>INDEX(G621:R621,1,MATCH(Parametres!$B$3,G$1:R$1,0))*IF(OR(F621="L",F621="S",F621="I"),-1,1)</f>
        <v>-311313.93</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57"/>
        <v>G46400</v>
      </c>
      <c r="AU621" s="488" t="str">
        <f t="shared" si="58"/>
        <v>VTES-M.D. INSPECTION</v>
      </c>
      <c r="AV621" s="899">
        <f>IFERROR(INDEX(V621:AG621,1,MATCH(Parametres!$B$3,V$1:AG$1,0)-1)*IF(OR(C621="L",C621="S",C621="I"),-1,1),"")</f>
        <v>1904</v>
      </c>
      <c r="AW621" s="899">
        <f t="shared" si="59"/>
        <v>211</v>
      </c>
      <c r="AX621" s="899">
        <f>INDEX(V621:AG621,1,MATCH(Parametres!$B$3,V$1:AG$1,0))*IF(OR(C621="L",C621="S",C621="I"),-1,1)</f>
        <v>2115</v>
      </c>
      <c r="AY621" s="487" t="s">
        <v>337</v>
      </c>
      <c r="AZ621" s="487" t="str">
        <f>+VLOOKUP($AJ621,Data_Validation!$A:$E,5,0)</f>
        <v>Oui</v>
      </c>
    </row>
    <row r="622" spans="1:52" ht="15" customHeight="1">
      <c r="A622" s="706" t="s">
        <v>1148</v>
      </c>
      <c r="B622" s="706">
        <v>2025</v>
      </c>
      <c r="C622" s="706" t="s">
        <v>2464</v>
      </c>
      <c r="D622" s="706" t="s">
        <v>2465</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G46420</v>
      </c>
      <c r="AK622" s="905" t="str">
        <f t="shared" si="61"/>
        <v>VTES-MO PDI CAM MOYEN</v>
      </c>
      <c r="AL622" s="905">
        <f>IFERROR(INDEX(G622:R622,1,MATCH(Parametres!$B$3,G$1:R$1,0)-1)*IF(OR(F622="L",F622="S",F622="I"),-1,1),"")</f>
        <v>0</v>
      </c>
      <c r="AM622" s="905">
        <f t="shared" si="56"/>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G46420</v>
      </c>
      <c r="AU622" s="488" t="str">
        <f t="shared" si="58"/>
        <v>VTES-MO PDI CAM MOYEN</v>
      </c>
      <c r="AV622" s="899">
        <f>IFERROR(INDEX(V622:AG622,1,MATCH(Parametres!$B$3,V$1:AG$1,0)-1)*IF(OR(C622="L",C622="S",C622="I"),-1,1),"")</f>
        <v>0</v>
      </c>
      <c r="AW622" s="899">
        <f t="shared" si="59"/>
        <v>0</v>
      </c>
      <c r="AX622" s="899">
        <f>INDEX(V622:AG622,1,MATCH(Parametres!$B$3,V$1:AG$1,0))*IF(OR(C622="L",C622="S",C622="I"),-1,1)</f>
        <v>0</v>
      </c>
      <c r="AY622" s="487" t="s">
        <v>337</v>
      </c>
      <c r="AZ622" s="487" t="e">
        <f>+VLOOKUP($AJ622,Data_Validation!$A:$E,5,0)</f>
        <v>#N/A</v>
      </c>
    </row>
    <row r="623" spans="1:52" ht="15" customHeight="1">
      <c r="A623" s="706" t="s">
        <v>1148</v>
      </c>
      <c r="B623" s="706">
        <v>2025</v>
      </c>
      <c r="C623" s="706" t="s">
        <v>2466</v>
      </c>
      <c r="D623" s="706" t="s">
        <v>2467</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905" t="str">
        <f t="shared" si="60"/>
        <v>G46500</v>
      </c>
      <c r="AK623" s="905" t="str">
        <f t="shared" si="61"/>
        <v>*TEMPS PERDU SERVICE</v>
      </c>
      <c r="AL623" s="905">
        <f>IFERROR(INDEX(G623:R623,1,MATCH(Parametres!$B$3,G$1:R$1,0)-1)*IF(OR(F623="L",F623="S",F623="I"),-1,1),"")</f>
        <v>0</v>
      </c>
      <c r="AM623" s="905">
        <f t="shared" si="56"/>
        <v>0</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57"/>
        <v>G46500</v>
      </c>
      <c r="AU623" s="488" t="str">
        <f t="shared" si="58"/>
        <v>*TEMPS PERDU SERVICE</v>
      </c>
      <c r="AV623" s="899">
        <f>IFERROR(INDEX(V623:AG623,1,MATCH(Parametres!$B$3,V$1:AG$1,0)-1)*IF(OR(C623="L",C623="S",C623="I"),-1,1),"")</f>
        <v>0</v>
      </c>
      <c r="AW623" s="899">
        <f t="shared" si="59"/>
        <v>0</v>
      </c>
      <c r="AX623" s="899">
        <f>INDEX(V623:AG623,1,MATCH(Parametres!$B$3,V$1:AG$1,0))*IF(OR(C623="L",C623="S",C623="I"),-1,1)</f>
        <v>0</v>
      </c>
      <c r="AY623" s="487" t="s">
        <v>337</v>
      </c>
      <c r="AZ623" s="487">
        <f>+VLOOKUP($AJ623,Data_Validation!$A:$E,5,0)</f>
        <v>0</v>
      </c>
    </row>
    <row r="624" spans="1:52" ht="15" hidden="1" customHeight="1">
      <c r="A624" s="706" t="s">
        <v>1148</v>
      </c>
      <c r="B624" s="706">
        <v>2025</v>
      </c>
      <c r="C624" s="706" t="s">
        <v>2468</v>
      </c>
      <c r="D624" s="706" t="s">
        <v>2469</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905" t="str">
        <f t="shared" si="60"/>
        <v>G46600</v>
      </c>
      <c r="AK624" s="905" t="str">
        <f t="shared" si="61"/>
        <v>VTES-REPARAT.SOUS-TRAITES</v>
      </c>
      <c r="AL624" s="905">
        <f>IFERROR(INDEX(G624:R624,1,MATCH(Parametres!$B$3,G$1:R$1,0)-1)*IF(OR(F624="L",F624="S",F624="I"),-1,1),"")</f>
        <v>-186401.84</v>
      </c>
      <c r="AM624" s="905">
        <f t="shared" si="56"/>
        <v>-25403.790000000008</v>
      </c>
      <c r="AN624" s="905">
        <f>INDEX(G624:R624,1,MATCH(Parametres!$B$3,G$1:R$1,0))*IF(OR(F624="L",F624="S",F624="I"),-1,1)</f>
        <v>-211805.63</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57"/>
        <v>G46600</v>
      </c>
      <c r="AU624" s="488" t="str">
        <f t="shared" si="58"/>
        <v>VTES-REPARAT.SOUS-TRAITES</v>
      </c>
      <c r="AV624" s="899">
        <f>IFERROR(INDEX(V624:AG624,1,MATCH(Parametres!$B$3,V$1:AG$1,0)-1)*IF(OR(C624="L",C624="S",C624="I"),-1,1),"")</f>
        <v>444</v>
      </c>
      <c r="AW624" s="899">
        <f t="shared" si="59"/>
        <v>48</v>
      </c>
      <c r="AX624" s="899">
        <f>INDEX(V624:AG624,1,MATCH(Parametres!$B$3,V$1:AG$1,0))*IF(OR(C624="L",C624="S",C624="I"),-1,1)</f>
        <v>492</v>
      </c>
      <c r="AY624" s="487" t="s">
        <v>337</v>
      </c>
      <c r="AZ624" s="487" t="str">
        <f>+VLOOKUP($AJ624,Data_Validation!$A:$E,5,0)</f>
        <v>Oui</v>
      </c>
    </row>
    <row r="625" spans="1:52" ht="15" hidden="1" customHeight="1">
      <c r="A625" s="706" t="s">
        <v>1148</v>
      </c>
      <c r="B625" s="706">
        <v>2025</v>
      </c>
      <c r="C625" s="706" t="s">
        <v>2470</v>
      </c>
      <c r="D625" s="706" t="s">
        <v>2471</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G46610</v>
      </c>
      <c r="AK625" s="905" t="str">
        <f t="shared" si="61"/>
        <v>VTES-REPARAT.PARE-BRISES</v>
      </c>
      <c r="AL625" s="905">
        <f>IFERROR(INDEX(G625:R625,1,MATCH(Parametres!$B$3,G$1:R$1,0)-1)*IF(OR(F625="L",F625="S",F625="I"),-1,1),"")</f>
        <v>0</v>
      </c>
      <c r="AM625" s="905">
        <f t="shared" si="56"/>
        <v>0</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57"/>
        <v>G46610</v>
      </c>
      <c r="AU625" s="488" t="str">
        <f t="shared" si="58"/>
        <v>VTES-REPARAT.PARE-BRISES</v>
      </c>
      <c r="AV625" s="899">
        <f>IFERROR(INDEX(V625:AG625,1,MATCH(Parametres!$B$3,V$1:AG$1,0)-1)*IF(OR(C625="L",C625="S",C625="I"),-1,1),"")</f>
        <v>0</v>
      </c>
      <c r="AW625" s="899">
        <f t="shared" si="59"/>
        <v>0</v>
      </c>
      <c r="AX625" s="899">
        <f>INDEX(V625:AG625,1,MATCH(Parametres!$B$3,V$1:AG$1,0))*IF(OR(C625="L",C625="S",C625="I"),-1,1)</f>
        <v>0</v>
      </c>
      <c r="AY625" s="487" t="s">
        <v>337</v>
      </c>
      <c r="AZ625" s="487" t="str">
        <f>+VLOOKUP($AJ625,Data_Validation!$A:$E,5,0)</f>
        <v>Oui</v>
      </c>
    </row>
    <row r="626" spans="1:52" ht="15" customHeight="1">
      <c r="A626" s="706" t="s">
        <v>1148</v>
      </c>
      <c r="B626" s="706">
        <v>2025</v>
      </c>
      <c r="C626" s="706" t="s">
        <v>2472</v>
      </c>
      <c r="D626" s="706" t="s">
        <v>2473</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G46611</v>
      </c>
      <c r="AK626" s="905" t="str">
        <f t="shared" si="61"/>
        <v>SUPER VITRE VENTE SUBLET</v>
      </c>
      <c r="AL626" s="905">
        <f>IFERROR(INDEX(G626:R626,1,MATCH(Parametres!$B$3,G$1:R$1,0)-1)*IF(OR(F626="L",F626="S",F626="I"),-1,1),"")</f>
        <v>0</v>
      </c>
      <c r="AM626" s="905">
        <f t="shared" si="56"/>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57"/>
        <v>G46611</v>
      </c>
      <c r="AU626" s="488" t="str">
        <f t="shared" si="58"/>
        <v>SUPER VITRE VENTE SUBLET</v>
      </c>
      <c r="AV626" s="899">
        <f>IFERROR(INDEX(V626:AG626,1,MATCH(Parametres!$B$3,V$1:AG$1,0)-1)*IF(OR(C626="L",C626="S",C626="I"),-1,1),"")</f>
        <v>0</v>
      </c>
      <c r="AW626" s="899">
        <f t="shared" si="59"/>
        <v>0</v>
      </c>
      <c r="AX626" s="899">
        <f>INDEX(V626:AG626,1,MATCH(Parametres!$B$3,V$1:AG$1,0))*IF(OR(C626="L",C626="S",C626="I"),-1,1)</f>
        <v>0</v>
      </c>
      <c r="AY626" s="487" t="s">
        <v>337</v>
      </c>
      <c r="AZ626" s="487" t="e">
        <f>+VLOOKUP($AJ626,Data_Validation!$A:$E,5,0)</f>
        <v>#N/A</v>
      </c>
    </row>
    <row r="627" spans="1:52" ht="15" hidden="1" customHeight="1">
      <c r="A627" s="706" t="s">
        <v>1148</v>
      </c>
      <c r="B627" s="706">
        <v>2025</v>
      </c>
      <c r="C627" s="706" t="s">
        <v>2474</v>
      </c>
      <c r="D627" s="706" t="s">
        <v>2475</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905" t="str">
        <f t="shared" si="60"/>
        <v>G46710</v>
      </c>
      <c r="AK627" s="905" t="str">
        <f t="shared" si="61"/>
        <v>VTES PI SERV.VOIT&amp;CAM LEG</v>
      </c>
      <c r="AL627" s="905">
        <f>IFERROR(INDEX(G627:R627,1,MATCH(Parametres!$B$3,G$1:R$1,0)-1)*IF(OR(F627="L",F627="S",F627="I"),-1,1),"")</f>
        <v>-517441.14</v>
      </c>
      <c r="AM627" s="905">
        <f t="shared" si="56"/>
        <v>-76553.770000000019</v>
      </c>
      <c r="AN627" s="905">
        <f>INDEX(G627:R627,1,MATCH(Parametres!$B$3,G$1:R$1,0))*IF(OR(F627="L",F627="S",F627="I"),-1,1)</f>
        <v>-593994.91</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57"/>
        <v>G46710</v>
      </c>
      <c r="AU627" s="488" t="str">
        <f t="shared" si="58"/>
        <v>VTES PI SERV.VOIT&amp;CAM LEG</v>
      </c>
      <c r="AV627" s="899">
        <f>IFERROR(INDEX(V627:AG627,1,MATCH(Parametres!$B$3,V$1:AG$1,0)-1)*IF(OR(C627="L",C627="S",C627="I"),-1,1),"")</f>
        <v>1657</v>
      </c>
      <c r="AW627" s="899">
        <f t="shared" si="59"/>
        <v>236</v>
      </c>
      <c r="AX627" s="899">
        <f>INDEX(V627:AG627,1,MATCH(Parametres!$B$3,V$1:AG$1,0))*IF(OR(C627="L",C627="S",C627="I"),-1,1)</f>
        <v>1893</v>
      </c>
      <c r="AY627" s="487" t="s">
        <v>337</v>
      </c>
      <c r="AZ627" s="487" t="str">
        <f>+VLOOKUP($AJ627,Data_Validation!$A:$E,5,0)</f>
        <v>Oui</v>
      </c>
    </row>
    <row r="628" spans="1:52" ht="15" hidden="1" customHeight="1">
      <c r="A628" s="706" t="s">
        <v>1148</v>
      </c>
      <c r="B628" s="706">
        <v>2025</v>
      </c>
      <c r="C628" s="706" t="s">
        <v>2476</v>
      </c>
      <c r="D628" s="706" t="s">
        <v>2477</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G46720</v>
      </c>
      <c r="AK628" s="905" t="str">
        <f t="shared" si="61"/>
        <v>B.R PPC VOIT &amp; CAM LEG.</v>
      </c>
      <c r="AL628" s="905">
        <f>IFERROR(INDEX(G628:R628,1,MATCH(Parametres!$B$3,G$1:R$1,0)-1)*IF(OR(F628="L",F628="S",F628="I"),-1,1),"")</f>
        <v>0</v>
      </c>
      <c r="AM628" s="905">
        <f t="shared" si="56"/>
        <v>0</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57"/>
        <v>G46720</v>
      </c>
      <c r="AU628" s="488" t="str">
        <f t="shared" si="58"/>
        <v>B.R PPC VOIT &amp; CAM LEG.</v>
      </c>
      <c r="AV628" s="899">
        <f>IFERROR(INDEX(V628:AG628,1,MATCH(Parametres!$B$3,V$1:AG$1,0)-1)*IF(OR(C628="L",C628="S",C628="I"),-1,1),"")</f>
        <v>0</v>
      </c>
      <c r="AW628" s="899">
        <f t="shared" si="59"/>
        <v>0</v>
      </c>
      <c r="AX628" s="899">
        <f>INDEX(V628:AG628,1,MATCH(Parametres!$B$3,V$1:AG$1,0))*IF(OR(C628="L",C628="S",C628="I"),-1,1)</f>
        <v>0</v>
      </c>
      <c r="AY628" s="487" t="s">
        <v>337</v>
      </c>
      <c r="AZ628" s="487" t="str">
        <f>+VLOOKUP($AJ628,Data_Validation!$A:$E,5,0)</f>
        <v>Oui</v>
      </c>
    </row>
    <row r="629" spans="1:52" ht="15" customHeight="1">
      <c r="A629" s="706" t="s">
        <v>1148</v>
      </c>
      <c r="B629" s="706">
        <v>2025</v>
      </c>
      <c r="C629" s="706" t="s">
        <v>2478</v>
      </c>
      <c r="D629" s="706" t="s">
        <v>2479</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905" t="str">
        <f t="shared" si="60"/>
        <v>G46740</v>
      </c>
      <c r="AK629" s="905" t="str">
        <f t="shared" si="61"/>
        <v>SER.RAPIDE VOIT CAM LEG.</v>
      </c>
      <c r="AL629" s="905">
        <f>IFERROR(INDEX(G629:R629,1,MATCH(Parametres!$B$3,G$1:R$1,0)-1)*IF(OR(F629="L",F629="S",F629="I"),-1,1),"")</f>
        <v>0</v>
      </c>
      <c r="AM629" s="905">
        <f t="shared" si="56"/>
        <v>0</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57"/>
        <v>G46740</v>
      </c>
      <c r="AU629" s="488" t="str">
        <f t="shared" si="58"/>
        <v>SER.RAPIDE VOIT CAM LEG.</v>
      </c>
      <c r="AV629" s="899">
        <f>IFERROR(INDEX(V629:AG629,1,MATCH(Parametres!$B$3,V$1:AG$1,0)-1)*IF(OR(C629="L",C629="S",C629="I"),-1,1),"")</f>
        <v>0</v>
      </c>
      <c r="AW629" s="899">
        <f t="shared" si="59"/>
        <v>0</v>
      </c>
      <c r="AX629" s="899">
        <f>INDEX(V629:AG629,1,MATCH(Parametres!$B$3,V$1:AG$1,0))*IF(OR(C629="L",C629="S",C629="I"),-1,1)</f>
        <v>0</v>
      </c>
      <c r="AY629" s="487" t="s">
        <v>337</v>
      </c>
      <c r="AZ629" s="487">
        <f>+VLOOKUP($AJ629,Data_Validation!$A:$E,5,0)</f>
        <v>0</v>
      </c>
    </row>
    <row r="630" spans="1:52" ht="15" customHeight="1">
      <c r="A630" s="706" t="s">
        <v>1148</v>
      </c>
      <c r="B630" s="706">
        <v>2025</v>
      </c>
      <c r="C630" s="706" t="s">
        <v>2480</v>
      </c>
      <c r="D630" s="706" t="s">
        <v>2481</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905" t="str">
        <f t="shared" si="60"/>
        <v>G46800</v>
      </c>
      <c r="AK630" s="905" t="str">
        <f t="shared" si="61"/>
        <v>VTES-PCE CLIENT CAM MOYEN</v>
      </c>
      <c r="AL630" s="905">
        <f>IFERROR(INDEX(G630:R630,1,MATCH(Parametres!$B$3,G$1:R$1,0)-1)*IF(OR(F630="L",F630="S",F630="I"),-1,1),"")</f>
        <v>0</v>
      </c>
      <c r="AM630" s="905">
        <f t="shared" si="56"/>
        <v>0</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57"/>
        <v>G46800</v>
      </c>
      <c r="AU630" s="488" t="str">
        <f t="shared" si="58"/>
        <v>VTES-PCE CLIENT CAM MOYEN</v>
      </c>
      <c r="AV630" s="899">
        <f>IFERROR(INDEX(V630:AG630,1,MATCH(Parametres!$B$3,V$1:AG$1,0)-1)*IF(OR(C630="L",C630="S",C630="I"),-1,1),"")</f>
        <v>0</v>
      </c>
      <c r="AW630" s="899">
        <f t="shared" si="59"/>
        <v>0</v>
      </c>
      <c r="AX630" s="899">
        <f>INDEX(V630:AG630,1,MATCH(Parametres!$B$3,V$1:AG$1,0))*IF(OR(C630="L",C630="S",C630="I"),-1,1)</f>
        <v>0</v>
      </c>
      <c r="AY630" s="487" t="s">
        <v>337</v>
      </c>
      <c r="AZ630" s="487">
        <f>+VLOOKUP($AJ630,Data_Validation!$A:$E,5,0)</f>
        <v>0</v>
      </c>
    </row>
    <row r="631" spans="1:52" ht="15" customHeight="1">
      <c r="A631" s="706" t="s">
        <v>1148</v>
      </c>
      <c r="B631" s="706">
        <v>2025</v>
      </c>
      <c r="C631" s="706" t="s">
        <v>2482</v>
      </c>
      <c r="D631" s="706" t="s">
        <v>2483</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G46810</v>
      </c>
      <c r="AK631" s="905" t="str">
        <f t="shared" si="61"/>
        <v>VTES-PCE SERV.CLIENT CAM.</v>
      </c>
      <c r="AL631" s="905">
        <f>IFERROR(INDEX(G631:R631,1,MATCH(Parametres!$B$3,G$1:R$1,0)-1)*IF(OR(F631="L",F631="S",F631="I"),-1,1),"")</f>
        <v>0</v>
      </c>
      <c r="AM631" s="905">
        <f t="shared" si="56"/>
        <v>0</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57"/>
        <v>G46810</v>
      </c>
      <c r="AU631" s="488" t="str">
        <f t="shared" si="58"/>
        <v>VTES-PCE SERV.CLIENT CAM.</v>
      </c>
      <c r="AV631" s="899">
        <f>IFERROR(INDEX(V631:AG631,1,MATCH(Parametres!$B$3,V$1:AG$1,0)-1)*IF(OR(C631="L",C631="S",C631="I"),-1,1),"")</f>
        <v>0</v>
      </c>
      <c r="AW631" s="899">
        <f t="shared" si="59"/>
        <v>0</v>
      </c>
      <c r="AX631" s="899">
        <f>INDEX(V631:AG631,1,MATCH(Parametres!$B$3,V$1:AG$1,0))*IF(OR(C631="L",C631="S",C631="I"),-1,1)</f>
        <v>0</v>
      </c>
      <c r="AY631" s="487" t="s">
        <v>337</v>
      </c>
      <c r="AZ631" s="487">
        <f>+VLOOKUP($AJ631,Data_Validation!$A:$E,5,0)</f>
        <v>0</v>
      </c>
    </row>
    <row r="632" spans="1:52" ht="15" customHeight="1">
      <c r="A632" s="706" t="s">
        <v>1148</v>
      </c>
      <c r="B632" s="706">
        <v>2025</v>
      </c>
      <c r="C632" s="706" t="s">
        <v>2484</v>
      </c>
      <c r="D632" s="706" t="s">
        <v>2485</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G46840</v>
      </c>
      <c r="AK632" s="905" t="str">
        <f t="shared" si="61"/>
        <v>VTES-PCE GOODWRENCH CAMIO</v>
      </c>
      <c r="AL632" s="905">
        <f>IFERROR(INDEX(G632:R632,1,MATCH(Parametres!$B$3,G$1:R$1,0)-1)*IF(OR(F632="L",F632="S",F632="I"),-1,1),"")</f>
        <v>0</v>
      </c>
      <c r="AM632" s="905">
        <f t="shared" si="56"/>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G46840</v>
      </c>
      <c r="AU632" s="488" t="str">
        <f t="shared" si="58"/>
        <v>VTES-PCE GOODWRENCH CAMIO</v>
      </c>
      <c r="AV632" s="899">
        <f>IFERROR(INDEX(V632:AG632,1,MATCH(Parametres!$B$3,V$1:AG$1,0)-1)*IF(OR(C632="L",C632="S",C632="I"),-1,1),"")</f>
        <v>0</v>
      </c>
      <c r="AW632" s="899">
        <f t="shared" si="59"/>
        <v>0</v>
      </c>
      <c r="AX632" s="899">
        <f>INDEX(V632:AG632,1,MATCH(Parametres!$B$3,V$1:AG$1,0))*IF(OR(C632="L",C632="S",C632="I"),-1,1)</f>
        <v>0</v>
      </c>
      <c r="AY632" s="487" t="s">
        <v>337</v>
      </c>
      <c r="AZ632" s="487" t="e">
        <f>+VLOOKUP($AJ632,Data_Validation!$A:$E,5,0)</f>
        <v>#N/A</v>
      </c>
    </row>
    <row r="633" spans="1:52" ht="15" hidden="1" customHeight="1">
      <c r="A633" s="706" t="s">
        <v>1148</v>
      </c>
      <c r="B633" s="706">
        <v>2025</v>
      </c>
      <c r="C633" s="706" t="s">
        <v>2486</v>
      </c>
      <c r="D633" s="706" t="s">
        <v>2487</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905" t="str">
        <f t="shared" si="60"/>
        <v>G46900</v>
      </c>
      <c r="AK633" s="905" t="str">
        <f t="shared" si="61"/>
        <v>VTES FOURNITURE ATELIER</v>
      </c>
      <c r="AL633" s="905">
        <f>IFERROR(INDEX(G633:R633,1,MATCH(Parametres!$B$3,G$1:R$1,0)-1)*IF(OR(F633="L",F633="S",F633="I"),-1,1),"")</f>
        <v>-24884.639999999999</v>
      </c>
      <c r="AM633" s="905">
        <f t="shared" si="56"/>
        <v>-4391.9000000000015</v>
      </c>
      <c r="AN633" s="905">
        <f>INDEX(G633:R633,1,MATCH(Parametres!$B$3,G$1:R$1,0))*IF(OR(F633="L",F633="S",F633="I"),-1,1)</f>
        <v>-29276.54</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57"/>
        <v>G46900</v>
      </c>
      <c r="AU633" s="488" t="str">
        <f t="shared" si="58"/>
        <v>VTES FOURNITURE ATELIER</v>
      </c>
      <c r="AV633" s="899">
        <f>IFERROR(INDEX(V633:AG633,1,MATCH(Parametres!$B$3,V$1:AG$1,0)-1)*IF(OR(C633="L",C633="S",C633="I"),-1,1),"")</f>
        <v>2321</v>
      </c>
      <c r="AW633" s="899">
        <f t="shared" si="59"/>
        <v>355</v>
      </c>
      <c r="AX633" s="899">
        <f>INDEX(V633:AG633,1,MATCH(Parametres!$B$3,V$1:AG$1,0))*IF(OR(C633="L",C633="S",C633="I"),-1,1)</f>
        <v>2676</v>
      </c>
      <c r="AY633" s="487" t="s">
        <v>337</v>
      </c>
      <c r="AZ633" s="487" t="str">
        <f>+VLOOKUP($AJ633,Data_Validation!$A:$E,5,0)</f>
        <v>Oui</v>
      </c>
    </row>
    <row r="634" spans="1:52" ht="15" hidden="1" customHeight="1">
      <c r="A634" s="706" t="s">
        <v>1148</v>
      </c>
      <c r="B634" s="706">
        <v>2025</v>
      </c>
      <c r="C634" s="706" t="s">
        <v>2488</v>
      </c>
      <c r="D634" s="706" t="s">
        <v>2489</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905" t="str">
        <f t="shared" si="60"/>
        <v>G47000</v>
      </c>
      <c r="AK634" s="905" t="str">
        <f t="shared" si="61"/>
        <v>VTES-M.D. CLIENT-PEINTURE</v>
      </c>
      <c r="AL634" s="905">
        <f>IFERROR(INDEX(G634:R634,1,MATCH(Parametres!$B$3,G$1:R$1,0)-1)*IF(OR(F634="L",F634="S",F634="I"),-1,1),"")</f>
        <v>0</v>
      </c>
      <c r="AM634" s="905">
        <f t="shared" si="56"/>
        <v>0</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57"/>
        <v>G47000</v>
      </c>
      <c r="AU634" s="488" t="str">
        <f t="shared" si="58"/>
        <v>VTES-M.D. CLIENT-PEINTURE</v>
      </c>
      <c r="AV634" s="899">
        <f>IFERROR(INDEX(V634:AG634,1,MATCH(Parametres!$B$3,V$1:AG$1,0)-1)*IF(OR(C634="L",C634="S",C634="I"),-1,1),"")</f>
        <v>1</v>
      </c>
      <c r="AW634" s="899">
        <f t="shared" si="59"/>
        <v>0</v>
      </c>
      <c r="AX634" s="899">
        <f>INDEX(V634:AG634,1,MATCH(Parametres!$B$3,V$1:AG$1,0))*IF(OR(C634="L",C634="S",C634="I"),-1,1)</f>
        <v>1</v>
      </c>
      <c r="AY634" s="487" t="s">
        <v>337</v>
      </c>
      <c r="AZ634" s="487" t="str">
        <f>+VLOOKUP($AJ634,Data_Validation!$A:$E,5,0)</f>
        <v>Oui</v>
      </c>
    </row>
    <row r="635" spans="1:52" ht="15" hidden="1" customHeight="1">
      <c r="A635" s="706" t="s">
        <v>1148</v>
      </c>
      <c r="B635" s="706">
        <v>2025</v>
      </c>
      <c r="C635" s="706" t="s">
        <v>2492</v>
      </c>
      <c r="D635" s="706" t="s">
        <v>2493</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905" t="str">
        <f t="shared" si="60"/>
        <v>G47100</v>
      </c>
      <c r="AK635" s="905" t="str">
        <f t="shared" si="61"/>
        <v>VTES-M.D. CLIENT CARROSS.</v>
      </c>
      <c r="AL635" s="905">
        <f>IFERROR(INDEX(G635:R635,1,MATCH(Parametres!$B$3,G$1:R$1,0)-1)*IF(OR(F635="L",F635="S",F635="I"),-1,1),"")</f>
        <v>-434060.93</v>
      </c>
      <c r="AM635" s="905">
        <f t="shared" si="56"/>
        <v>-47879.179999999993</v>
      </c>
      <c r="AN635" s="905">
        <f>INDEX(G635:R635,1,MATCH(Parametres!$B$3,G$1:R$1,0))*IF(OR(F635="L",F635="S",F635="I"),-1,1)</f>
        <v>-481940.11</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57"/>
        <v>G47100</v>
      </c>
      <c r="AU635" s="488" t="str">
        <f t="shared" si="58"/>
        <v>VTES-M.D. CLIENT CARROSS.</v>
      </c>
      <c r="AV635" s="899">
        <f>IFERROR(INDEX(V635:AG635,1,MATCH(Parametres!$B$3,V$1:AG$1,0)-1)*IF(OR(C635="L",C635="S",C635="I"),-1,1),"")</f>
        <v>329</v>
      </c>
      <c r="AW635" s="899">
        <f t="shared" si="59"/>
        <v>57</v>
      </c>
      <c r="AX635" s="899">
        <f>INDEX(V635:AG635,1,MATCH(Parametres!$B$3,V$1:AG$1,0))*IF(OR(C635="L",C635="S",C635="I"),-1,1)</f>
        <v>386</v>
      </c>
      <c r="AY635" s="487" t="s">
        <v>337</v>
      </c>
      <c r="AZ635" s="487" t="str">
        <f>+VLOOKUP($AJ635,Data_Validation!$A:$E,5,0)</f>
        <v>Oui</v>
      </c>
    </row>
    <row r="636" spans="1:52" ht="15" hidden="1" customHeight="1">
      <c r="A636" s="706" t="s">
        <v>1148</v>
      </c>
      <c r="B636" s="706">
        <v>2025</v>
      </c>
      <c r="C636" s="706" t="s">
        <v>2502</v>
      </c>
      <c r="D636" s="706" t="s">
        <v>2503</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905" t="str">
        <f t="shared" si="60"/>
        <v>G47200</v>
      </c>
      <c r="AK636" s="905" t="str">
        <f t="shared" si="61"/>
        <v>VTES-M.D. CARROS.GARANTIE</v>
      </c>
      <c r="AL636" s="905">
        <f>IFERROR(INDEX(G636:R636,1,MATCH(Parametres!$B$3,G$1:R$1,0)-1)*IF(OR(F636="L",F636="S",F636="I"),-1,1),"")</f>
        <v>-540.79999999999995</v>
      </c>
      <c r="AM636" s="905">
        <f t="shared" si="56"/>
        <v>0</v>
      </c>
      <c r="AN636" s="905">
        <f>INDEX(G636:R636,1,MATCH(Parametres!$B$3,G$1:R$1,0))*IF(OR(F636="L",F636="S",F636="I"),-1,1)</f>
        <v>-540.79999999999995</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57"/>
        <v>G47200</v>
      </c>
      <c r="AU636" s="488" t="str">
        <f t="shared" si="58"/>
        <v>VTES-M.D. CARROS.GARANTIE</v>
      </c>
      <c r="AV636" s="899">
        <f>IFERROR(INDEX(V636:AG636,1,MATCH(Parametres!$B$3,V$1:AG$1,0)-1)*IF(OR(C636="L",C636="S",C636="I"),-1,1),"")</f>
        <v>2</v>
      </c>
      <c r="AW636" s="899">
        <f t="shared" si="59"/>
        <v>0</v>
      </c>
      <c r="AX636" s="899">
        <f>INDEX(V636:AG636,1,MATCH(Parametres!$B$3,V$1:AG$1,0))*IF(OR(C636="L",C636="S",C636="I"),-1,1)</f>
        <v>2</v>
      </c>
      <c r="AY636" s="487" t="s">
        <v>337</v>
      </c>
      <c r="AZ636" s="487" t="str">
        <f>+VLOOKUP($AJ636,Data_Validation!$A:$E,5,0)</f>
        <v>Oui</v>
      </c>
    </row>
    <row r="637" spans="1:52" ht="15" hidden="1" customHeight="1">
      <c r="A637" s="706" t="s">
        <v>1148</v>
      </c>
      <c r="B637" s="706">
        <v>2025</v>
      </c>
      <c r="C637" s="706" t="s">
        <v>2504</v>
      </c>
      <c r="D637" s="706" t="s">
        <v>2505</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905" t="str">
        <f t="shared" si="60"/>
        <v>G47300</v>
      </c>
      <c r="AK637" s="905" t="str">
        <f t="shared" si="61"/>
        <v>VTES-M.D. CARROS.INTERNE</v>
      </c>
      <c r="AL637" s="905">
        <f>IFERROR(INDEX(G637:R637,1,MATCH(Parametres!$B$3,G$1:R$1,0)-1)*IF(OR(F637="L",F637="S",F637="I"),-1,1),"")</f>
        <v>-41630.36</v>
      </c>
      <c r="AM637" s="905">
        <f t="shared" si="56"/>
        <v>-6016.510000000002</v>
      </c>
      <c r="AN637" s="905">
        <f>INDEX(G637:R637,1,MATCH(Parametres!$B$3,G$1:R$1,0))*IF(OR(F637="L",F637="S",F637="I"),-1,1)</f>
        <v>-47646.87</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57"/>
        <v>G47300</v>
      </c>
      <c r="AU637" s="488" t="str">
        <f t="shared" si="58"/>
        <v>VTES-M.D. CARROS.INTERNE</v>
      </c>
      <c r="AV637" s="899">
        <f>IFERROR(INDEX(V637:AG637,1,MATCH(Parametres!$B$3,V$1:AG$1,0)-1)*IF(OR(C637="L",C637="S",C637="I"),-1,1),"")</f>
        <v>67</v>
      </c>
      <c r="AW637" s="899">
        <f t="shared" si="59"/>
        <v>14</v>
      </c>
      <c r="AX637" s="899">
        <f>INDEX(V637:AG637,1,MATCH(Parametres!$B$3,V$1:AG$1,0))*IF(OR(C637="L",C637="S",C637="I"),-1,1)</f>
        <v>81</v>
      </c>
      <c r="AY637" s="487" t="s">
        <v>337</v>
      </c>
      <c r="AZ637" s="487" t="str">
        <f>+VLOOKUP($AJ637,Data_Validation!$A:$E,5,0)</f>
        <v>Oui</v>
      </c>
    </row>
    <row r="638" spans="1:52" ht="15" hidden="1" customHeight="1">
      <c r="A638" s="706" t="s">
        <v>1148</v>
      </c>
      <c r="B638" s="706">
        <v>2025</v>
      </c>
      <c r="C638" s="706" t="s">
        <v>2510</v>
      </c>
      <c r="D638" s="706" t="s">
        <v>2511</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905" t="str">
        <f t="shared" si="60"/>
        <v>G47500</v>
      </c>
      <c r="AK638" s="905" t="str">
        <f t="shared" si="61"/>
        <v>*TEMPS PERDU CARROSSERIE</v>
      </c>
      <c r="AL638" s="905">
        <f>IFERROR(INDEX(G638:R638,1,MATCH(Parametres!$B$3,G$1:R$1,0)-1)*IF(OR(F638="L",F638="S",F638="I"),-1,1),"")</f>
        <v>0</v>
      </c>
      <c r="AM638" s="905">
        <f t="shared" si="56"/>
        <v>0</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57"/>
        <v>G47500</v>
      </c>
      <c r="AU638" s="488" t="str">
        <f t="shared" si="58"/>
        <v>*TEMPS PERDU CARROSSERIE</v>
      </c>
      <c r="AV638" s="899">
        <f>IFERROR(INDEX(V638:AG638,1,MATCH(Parametres!$B$3,V$1:AG$1,0)-1)*IF(OR(C638="L",C638="S",C638="I"),-1,1),"")</f>
        <v>0</v>
      </c>
      <c r="AW638" s="899">
        <f t="shared" si="59"/>
        <v>0</v>
      </c>
      <c r="AX638" s="899">
        <f>INDEX(V638:AG638,1,MATCH(Parametres!$B$3,V$1:AG$1,0))*IF(OR(C638="L",C638="S",C638="I"),-1,1)</f>
        <v>0</v>
      </c>
      <c r="AY638" s="487" t="s">
        <v>337</v>
      </c>
      <c r="AZ638" s="487" t="str">
        <f>+VLOOKUP($AJ638,Data_Validation!$A:$E,5,0)</f>
        <v>Oui</v>
      </c>
    </row>
    <row r="639" spans="1:52" ht="15" hidden="1" customHeight="1">
      <c r="A639" s="706" t="s">
        <v>1148</v>
      </c>
      <c r="B639" s="706">
        <v>2025</v>
      </c>
      <c r="C639" s="706" t="s">
        <v>2512</v>
      </c>
      <c r="D639" s="706" t="s">
        <v>2513</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905" t="str">
        <f t="shared" si="60"/>
        <v>G47600</v>
      </c>
      <c r="AK639" s="905" t="str">
        <f t="shared" si="61"/>
        <v>VTES-REP.SOUS-TRAITE BODY</v>
      </c>
      <c r="AL639" s="905">
        <f>IFERROR(INDEX(G639:R639,1,MATCH(Parametres!$B$3,G$1:R$1,0)-1)*IF(OR(F639="L",F639="S",F639="I"),-1,1),"")</f>
        <v>-771922.52</v>
      </c>
      <c r="AM639" s="905">
        <f t="shared" si="56"/>
        <v>-70561.770000000019</v>
      </c>
      <c r="AN639" s="905">
        <f>INDEX(G639:R639,1,MATCH(Parametres!$B$3,G$1:R$1,0))*IF(OR(F639="L",F639="S",F639="I"),-1,1)</f>
        <v>-842484.29</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57"/>
        <v>G47600</v>
      </c>
      <c r="AU639" s="488" t="str">
        <f t="shared" si="58"/>
        <v>VTES-REP.SOUS-TRAITE BODY</v>
      </c>
      <c r="AV639" s="899">
        <f>IFERROR(INDEX(V639:AG639,1,MATCH(Parametres!$B$3,V$1:AG$1,0)-1)*IF(OR(C639="L",C639="S",C639="I"),-1,1),"")</f>
        <v>334</v>
      </c>
      <c r="AW639" s="899">
        <f t="shared" si="59"/>
        <v>32</v>
      </c>
      <c r="AX639" s="899">
        <f>INDEX(V639:AG639,1,MATCH(Parametres!$B$3,V$1:AG$1,0))*IF(OR(C639="L",C639="S",C639="I"),-1,1)</f>
        <v>366</v>
      </c>
      <c r="AY639" s="487" t="s">
        <v>337</v>
      </c>
      <c r="AZ639" s="487" t="str">
        <f>+VLOOKUP($AJ639,Data_Validation!$A:$E,5,0)</f>
        <v>Oui</v>
      </c>
    </row>
    <row r="640" spans="1:52" ht="15" hidden="1" customHeight="1">
      <c r="A640" s="706" t="s">
        <v>1148</v>
      </c>
      <c r="B640" s="706">
        <v>2025</v>
      </c>
      <c r="C640" s="706" t="s">
        <v>2530</v>
      </c>
      <c r="D640" s="706" t="s">
        <v>2531</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905" t="str">
        <f t="shared" si="60"/>
        <v>G47700</v>
      </c>
      <c r="AK640" s="905" t="str">
        <f t="shared" si="61"/>
        <v>VENTE P&amp;A CLIENTS CAROSSE</v>
      </c>
      <c r="AL640" s="905">
        <f>IFERROR(INDEX(G640:R640,1,MATCH(Parametres!$B$3,G$1:R$1,0)-1)*IF(OR(F640="L",F640="S",F640="I"),-1,1),"")</f>
        <v>-18.350000000000001</v>
      </c>
      <c r="AM640" s="905">
        <f t="shared" si="56"/>
        <v>-361.84999999999997</v>
      </c>
      <c r="AN640" s="905">
        <f>INDEX(G640:R640,1,MATCH(Parametres!$B$3,G$1:R$1,0))*IF(OR(F640="L",F640="S",F640="I"),-1,1)</f>
        <v>-380.2</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57"/>
        <v>G47700</v>
      </c>
      <c r="AU640" s="488" t="str">
        <f t="shared" si="58"/>
        <v>VENTE P&amp;A CLIENTS CAROSSE</v>
      </c>
      <c r="AV640" s="899">
        <f>IFERROR(INDEX(V640:AG640,1,MATCH(Parametres!$B$3,V$1:AG$1,0)-1)*IF(OR(C640="L",C640="S",C640="I"),-1,1),"")</f>
        <v>3</v>
      </c>
      <c r="AW640" s="899">
        <f t="shared" si="59"/>
        <v>2</v>
      </c>
      <c r="AX640" s="899">
        <f>INDEX(V640:AG640,1,MATCH(Parametres!$B$3,V$1:AG$1,0))*IF(OR(C640="L",C640="S",C640="I"),-1,1)</f>
        <v>5</v>
      </c>
      <c r="AY640" s="487" t="s">
        <v>337</v>
      </c>
      <c r="AZ640" s="487" t="str">
        <f>+VLOOKUP($AJ640,Data_Validation!$A:$E,5,0)</f>
        <v>Oui</v>
      </c>
    </row>
    <row r="641" spans="1:52" ht="15" customHeight="1">
      <c r="A641" s="706" t="s">
        <v>1148</v>
      </c>
      <c r="B641" s="706">
        <v>2025</v>
      </c>
      <c r="C641" s="706" t="s">
        <v>2532</v>
      </c>
      <c r="D641" s="706" t="s">
        <v>2533</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G47800</v>
      </c>
      <c r="AK641" s="905" t="str">
        <f t="shared" si="61"/>
        <v>VTES-PCE CARR.CLIENT.CAM.</v>
      </c>
      <c r="AL641" s="905">
        <f>IFERROR(INDEX(G641:R641,1,MATCH(Parametres!$B$3,G$1:R$1,0)-1)*IF(OR(F641="L",F641="S",F641="I"),-1,1),"")</f>
        <v>0</v>
      </c>
      <c r="AM641" s="905">
        <f t="shared" si="56"/>
        <v>0</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57"/>
        <v>G47800</v>
      </c>
      <c r="AU641" s="488" t="str">
        <f t="shared" si="58"/>
        <v>VTES-PCE CARR.CLIENT.CAM.</v>
      </c>
      <c r="AV641" s="899">
        <f>IFERROR(INDEX(V641:AG641,1,MATCH(Parametres!$B$3,V$1:AG$1,0)-1)*IF(OR(C641="L",C641="S",C641="I"),-1,1),"")</f>
        <v>0</v>
      </c>
      <c r="AW641" s="899">
        <f t="shared" si="59"/>
        <v>0</v>
      </c>
      <c r="AX641" s="899">
        <f>INDEX(V641:AG641,1,MATCH(Parametres!$B$3,V$1:AG$1,0))*IF(OR(C641="L",C641="S",C641="I"),-1,1)</f>
        <v>0</v>
      </c>
      <c r="AY641" s="487" t="s">
        <v>337</v>
      </c>
      <c r="AZ641" s="487">
        <f>+VLOOKUP($AJ641,Data_Validation!$A:$E,5,0)</f>
        <v>0</v>
      </c>
    </row>
    <row r="642" spans="1:52" ht="15" customHeight="1">
      <c r="A642" s="706" t="s">
        <v>1148</v>
      </c>
      <c r="B642" s="706">
        <v>2025</v>
      </c>
      <c r="C642" s="706" t="s">
        <v>2534</v>
      </c>
      <c r="D642" s="706" t="s">
        <v>2535</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905" t="str">
        <f t="shared" si="60"/>
        <v>G47840</v>
      </c>
      <c r="AK642" s="905" t="str">
        <f t="shared" si="61"/>
        <v>VTES-PCE GOODW.CAM MOYEN</v>
      </c>
      <c r="AL642" s="905">
        <f>IFERROR(INDEX(G642:R642,1,MATCH(Parametres!$B$3,G$1:R$1,0)-1)*IF(OR(F642="L",F642="S",F642="I"),-1,1),"")</f>
        <v>0</v>
      </c>
      <c r="AM642" s="905">
        <f t="shared" si="56"/>
        <v>0</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57"/>
        <v>G47840</v>
      </c>
      <c r="AU642" s="488" t="str">
        <f t="shared" si="58"/>
        <v>VTES-PCE GOODW.CAM MOYEN</v>
      </c>
      <c r="AV642" s="899">
        <f>IFERROR(INDEX(V642:AG642,1,MATCH(Parametres!$B$3,V$1:AG$1,0)-1)*IF(OR(C642="L",C642="S",C642="I"),-1,1),"")</f>
        <v>0</v>
      </c>
      <c r="AW642" s="899">
        <f t="shared" si="59"/>
        <v>0</v>
      </c>
      <c r="AX642" s="899">
        <f>INDEX(V642:AG642,1,MATCH(Parametres!$B$3,V$1:AG$1,0))*IF(OR(C642="L",C642="S",C642="I"),-1,1)</f>
        <v>0</v>
      </c>
      <c r="AY642" s="487" t="s">
        <v>337</v>
      </c>
      <c r="AZ642" s="487">
        <f>+VLOOKUP($AJ642,Data_Validation!$A:$E,5,0)</f>
        <v>0</v>
      </c>
    </row>
    <row r="643" spans="1:52" ht="15" hidden="1" customHeight="1">
      <c r="A643" s="706" t="s">
        <v>1148</v>
      </c>
      <c r="B643" s="706">
        <v>2025</v>
      </c>
      <c r="C643" s="706" t="s">
        <v>2536</v>
      </c>
      <c r="D643" s="706" t="s">
        <v>2537</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905" t="str">
        <f t="shared" si="60"/>
        <v>G47900</v>
      </c>
      <c r="AK643" s="905" t="str">
        <f t="shared" si="61"/>
        <v>VTES-PEINTURE CARROSS.</v>
      </c>
      <c r="AL643" s="905">
        <f>IFERROR(INDEX(G643:R643,1,MATCH(Parametres!$B$3,G$1:R$1,0)-1)*IF(OR(F643="L",F643="S",F643="I"),-1,1),"")</f>
        <v>-164958.9</v>
      </c>
      <c r="AM643" s="905">
        <f t="shared" si="56"/>
        <v>-20112.760000000009</v>
      </c>
      <c r="AN643" s="905">
        <f>INDEX(G643:R643,1,MATCH(Parametres!$B$3,G$1:R$1,0))*IF(OR(F643="L",F643="S",F643="I"),-1,1)</f>
        <v>-185071.66</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57"/>
        <v>G47900</v>
      </c>
      <c r="AU643" s="488" t="str">
        <f t="shared" si="58"/>
        <v>VTES-PEINTURE CARROSS.</v>
      </c>
      <c r="AV643" s="899">
        <f>IFERROR(INDEX(V643:AG643,1,MATCH(Parametres!$B$3,V$1:AG$1,0)-1)*IF(OR(C643="L",C643="S",C643="I"),-1,1),"")</f>
        <v>349</v>
      </c>
      <c r="AW643" s="899">
        <f t="shared" si="59"/>
        <v>54</v>
      </c>
      <c r="AX643" s="899">
        <f>INDEX(V643:AG643,1,MATCH(Parametres!$B$3,V$1:AG$1,0))*IF(OR(C643="L",C643="S",C643="I"),-1,1)</f>
        <v>403</v>
      </c>
      <c r="AY643" s="487" t="s">
        <v>337</v>
      </c>
      <c r="AZ643" s="487" t="str">
        <f>+VLOOKUP($AJ643,Data_Validation!$A:$E,5,0)</f>
        <v>Oui</v>
      </c>
    </row>
    <row r="644" spans="1:52" ht="15" hidden="1" customHeight="1">
      <c r="A644" s="706" t="s">
        <v>1148</v>
      </c>
      <c r="B644" s="706">
        <v>2025</v>
      </c>
      <c r="C644" s="706" t="s">
        <v>2548</v>
      </c>
      <c r="D644" s="706" t="s">
        <v>2549</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905" t="str">
        <f t="shared" si="60"/>
        <v>G48000</v>
      </c>
      <c r="AK644" s="905" t="str">
        <f t="shared" si="61"/>
        <v>VTES-PIECES GARANTIES</v>
      </c>
      <c r="AL644" s="905">
        <f>IFERROR(INDEX(G644:R644,1,MATCH(Parametres!$B$3,G$1:R$1,0)-1)*IF(OR(F644="L",F644="S",F644="I"),-1,1),"")</f>
        <v>-503144.04</v>
      </c>
      <c r="AM644" s="905">
        <f t="shared" ref="AM644:AM707" si="62">AN644-AL644</f>
        <v>-47519.350000000035</v>
      </c>
      <c r="AN644" s="905">
        <f>INDEX(G644:R644,1,MATCH(Parametres!$B$3,G$1:R$1,0))*IF(OR(F644="L",F644="S",F644="I"),-1,1)</f>
        <v>-550663.39</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T707" si="63">C644</f>
        <v>G48000</v>
      </c>
      <c r="AU644" s="488" t="str">
        <f t="shared" ref="AU644:AU707" si="64">D644</f>
        <v>VTES-PIECES GARANTIES</v>
      </c>
      <c r="AV644" s="899">
        <f>IFERROR(INDEX(V644:AG644,1,MATCH(Parametres!$B$3,V$1:AG$1,0)-1)*IF(OR(C644="L",C644="S",C644="I"),-1,1),"")</f>
        <v>1804</v>
      </c>
      <c r="AW644" s="899">
        <f t="shared" ref="AW644:AW707" si="65">AX644-AV644</f>
        <v>189</v>
      </c>
      <c r="AX644" s="899">
        <f>INDEX(V644:AG644,1,MATCH(Parametres!$B$3,V$1:AG$1,0))*IF(OR(C644="L",C644="S",C644="I"),-1,1)</f>
        <v>1993</v>
      </c>
      <c r="AY644" s="487" t="s">
        <v>337</v>
      </c>
      <c r="AZ644" s="487" t="str">
        <f>+VLOOKUP($AJ644,Data_Validation!$A:$E,5,0)</f>
        <v>Oui</v>
      </c>
    </row>
    <row r="645" spans="1:52" ht="15" hidden="1" customHeight="1">
      <c r="A645" s="706" t="s">
        <v>1148</v>
      </c>
      <c r="B645" s="706">
        <v>2025</v>
      </c>
      <c r="C645" s="706" t="s">
        <v>2550</v>
      </c>
      <c r="D645" s="706" t="s">
        <v>2551</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G48020</v>
      </c>
      <c r="AK645" s="905" t="str">
        <f t="shared" si="61"/>
        <v>VTES-PCE RECLAM.CAM MOYEN</v>
      </c>
      <c r="AL645" s="905">
        <f>IFERROR(INDEX(G645:R645,1,MATCH(Parametres!$B$3,G$1:R$1,0)-1)*IF(OR(F645="L",F645="S",F645="I"),-1,1),"")</f>
        <v>0</v>
      </c>
      <c r="AM645" s="905">
        <f t="shared" si="62"/>
        <v>0</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63"/>
        <v>G48020</v>
      </c>
      <c r="AU645" s="488" t="str">
        <f t="shared" si="64"/>
        <v>VTES-PCE RECLAM.CAM MOYEN</v>
      </c>
      <c r="AV645" s="899">
        <f>IFERROR(INDEX(V645:AG645,1,MATCH(Parametres!$B$3,V$1:AG$1,0)-1)*IF(OR(C645="L",C645="S",C645="I"),-1,1),"")</f>
        <v>0</v>
      </c>
      <c r="AW645" s="899">
        <f t="shared" si="65"/>
        <v>0</v>
      </c>
      <c r="AX645" s="899">
        <f>INDEX(V645:AG645,1,MATCH(Parametres!$B$3,V$1:AG$1,0))*IF(OR(C645="L",C645="S",C645="I"),-1,1)</f>
        <v>0</v>
      </c>
      <c r="AY645" s="487" t="s">
        <v>337</v>
      </c>
      <c r="AZ645" s="487" t="str">
        <f>+VLOOKUP($AJ645,Data_Validation!$A:$E,5,0)</f>
        <v>Oui</v>
      </c>
    </row>
    <row r="646" spans="1:52" ht="15" hidden="1" customHeight="1">
      <c r="A646" s="706" t="s">
        <v>1148</v>
      </c>
      <c r="B646" s="706">
        <v>2025</v>
      </c>
      <c r="C646" s="706" t="s">
        <v>2552</v>
      </c>
      <c r="D646" s="706" t="s">
        <v>2553</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905" t="str">
        <f t="shared" si="60"/>
        <v>G48100</v>
      </c>
      <c r="AK646" s="905" t="str">
        <f t="shared" si="61"/>
        <v>VTES-PIECES INTERNE</v>
      </c>
      <c r="AL646" s="905">
        <f>IFERROR(INDEX(G646:R646,1,MATCH(Parametres!$B$3,G$1:R$1,0)-1)*IF(OR(F646="L",F646="S",F646="I"),-1,1),"")</f>
        <v>-554121.39</v>
      </c>
      <c r="AM646" s="905">
        <f t="shared" si="62"/>
        <v>-49613.650000000023</v>
      </c>
      <c r="AN646" s="905">
        <f>INDEX(G646:R646,1,MATCH(Parametres!$B$3,G$1:R$1,0))*IF(OR(F646="L",F646="S",F646="I"),-1,1)</f>
        <v>-603735.04000000004</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63"/>
        <v>G48100</v>
      </c>
      <c r="AU646" s="488" t="str">
        <f t="shared" si="64"/>
        <v>VTES-PIECES INTERNE</v>
      </c>
      <c r="AV646" s="899">
        <f>IFERROR(INDEX(V646:AG646,1,MATCH(Parametres!$B$3,V$1:AG$1,0)-1)*IF(OR(C646="L",C646="S",C646="I"),-1,1),"")</f>
        <v>1610</v>
      </c>
      <c r="AW646" s="899">
        <f t="shared" si="65"/>
        <v>153</v>
      </c>
      <c r="AX646" s="899">
        <f>INDEX(V646:AG646,1,MATCH(Parametres!$B$3,V$1:AG$1,0))*IF(OR(C646="L",C646="S",C646="I"),-1,1)</f>
        <v>1763</v>
      </c>
      <c r="AY646" s="487" t="s">
        <v>337</v>
      </c>
      <c r="AZ646" s="487" t="str">
        <f>+VLOOKUP($AJ646,Data_Validation!$A:$E,5,0)</f>
        <v>Oui</v>
      </c>
    </row>
    <row r="647" spans="1:52" ht="15" hidden="1" customHeight="1">
      <c r="A647" s="706" t="s">
        <v>1148</v>
      </c>
      <c r="B647" s="706">
        <v>2025</v>
      </c>
      <c r="C647" s="706" t="s">
        <v>2554</v>
      </c>
      <c r="D647" s="706" t="s">
        <v>2555</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G48120</v>
      </c>
      <c r="AK647" s="905" t="str">
        <f t="shared" si="61"/>
        <v>VTES-PCE INTERN CAM MOYEN</v>
      </c>
      <c r="AL647" s="905">
        <f>IFERROR(INDEX(G647:R647,1,MATCH(Parametres!$B$3,G$1:R$1,0)-1)*IF(OR(F647="L",F647="S",F647="I"),-1,1),"")</f>
        <v>0</v>
      </c>
      <c r="AM647" s="905">
        <f t="shared" si="62"/>
        <v>0</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63"/>
        <v>G48120</v>
      </c>
      <c r="AU647" s="488" t="str">
        <f t="shared" si="64"/>
        <v>VTES-PCE INTERN CAM MOYEN</v>
      </c>
      <c r="AV647" s="899">
        <f>IFERROR(INDEX(V647:AG647,1,MATCH(Parametres!$B$3,V$1:AG$1,0)-1)*IF(OR(C647="L",C647="S",C647="I"),-1,1),"")</f>
        <v>0</v>
      </c>
      <c r="AW647" s="899">
        <f t="shared" si="65"/>
        <v>0</v>
      </c>
      <c r="AX647" s="899">
        <f>INDEX(V647:AG647,1,MATCH(Parametres!$B$3,V$1:AG$1,0))*IF(OR(C647="L",C647="S",C647="I"),-1,1)</f>
        <v>0</v>
      </c>
      <c r="AY647" s="487" t="s">
        <v>337</v>
      </c>
      <c r="AZ647" s="487" t="str">
        <f>+VLOOKUP($AJ647,Data_Validation!$A:$E,5,0)</f>
        <v>Oui</v>
      </c>
    </row>
    <row r="648" spans="1:52" ht="15" hidden="1" customHeight="1">
      <c r="A648" s="706" t="s">
        <v>1148</v>
      </c>
      <c r="B648" s="706">
        <v>2025</v>
      </c>
      <c r="C648" s="706" t="s">
        <v>2556</v>
      </c>
      <c r="D648" s="706" t="s">
        <v>2557</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905" t="str">
        <f t="shared" si="60"/>
        <v>G48200</v>
      </c>
      <c r="AK648" s="905" t="str">
        <f t="shared" si="61"/>
        <v>VTES-PIECES AU DETAIL</v>
      </c>
      <c r="AL648" s="905">
        <f>IFERROR(INDEX(G648:R648,1,MATCH(Parametres!$B$3,G$1:R$1,0)-1)*IF(OR(F648="L",F648="S",F648="I"),-1,1),"")</f>
        <v>-273759.69</v>
      </c>
      <c r="AM648" s="905">
        <f t="shared" si="62"/>
        <v>-27876.289999999979</v>
      </c>
      <c r="AN648" s="905">
        <f>INDEX(G648:R648,1,MATCH(Parametres!$B$3,G$1:R$1,0))*IF(OR(F648="L",F648="S",F648="I"),-1,1)</f>
        <v>-301635.98</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63"/>
        <v>G48200</v>
      </c>
      <c r="AU648" s="488" t="str">
        <f t="shared" si="64"/>
        <v>VTES-PIECES AU DETAIL</v>
      </c>
      <c r="AV648" s="899">
        <f>IFERROR(INDEX(V648:AG648,1,MATCH(Parametres!$B$3,V$1:AG$1,0)-1)*IF(OR(C648="L",C648="S",C648="I"),-1,1),"")</f>
        <v>1365</v>
      </c>
      <c r="AW648" s="899">
        <f t="shared" si="65"/>
        <v>189</v>
      </c>
      <c r="AX648" s="899">
        <f>INDEX(V648:AG648,1,MATCH(Parametres!$B$3,V$1:AG$1,0))*IF(OR(C648="L",C648="S",C648="I"),-1,1)</f>
        <v>1554</v>
      </c>
      <c r="AY648" s="487" t="s">
        <v>337</v>
      </c>
      <c r="AZ648" s="487" t="str">
        <f>+VLOOKUP($AJ648,Data_Validation!$A:$E,5,0)</f>
        <v>Oui</v>
      </c>
    </row>
    <row r="649" spans="1:52" ht="15" hidden="1" customHeight="1">
      <c r="A649" s="706" t="s">
        <v>1148</v>
      </c>
      <c r="B649" s="706">
        <v>2025</v>
      </c>
      <c r="C649" s="706" t="s">
        <v>2558</v>
      </c>
      <c r="D649" s="706" t="s">
        <v>2559</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905" t="str">
        <f t="shared" si="60"/>
        <v>G48300</v>
      </c>
      <c r="AK649" s="905" t="str">
        <f t="shared" si="61"/>
        <v>VTES-PIECES EN GROS</v>
      </c>
      <c r="AL649" s="905">
        <f>IFERROR(INDEX(G649:R649,1,MATCH(Parametres!$B$3,G$1:R$1,0)-1)*IF(OR(F649="L",F649="S",F649="I"),-1,1),"")</f>
        <v>-1337705.26</v>
      </c>
      <c r="AM649" s="905">
        <f t="shared" si="62"/>
        <v>-99855.679999999935</v>
      </c>
      <c r="AN649" s="905">
        <f>INDEX(G649:R649,1,MATCH(Parametres!$B$3,G$1:R$1,0))*IF(OR(F649="L",F649="S",F649="I"),-1,1)</f>
        <v>-1437560.94</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63"/>
        <v>G48300</v>
      </c>
      <c r="AU649" s="488" t="str">
        <f t="shared" si="64"/>
        <v>VTES-PIECES EN GROS</v>
      </c>
      <c r="AV649" s="899">
        <f>IFERROR(INDEX(V649:AG649,1,MATCH(Parametres!$B$3,V$1:AG$1,0)-1)*IF(OR(C649="L",C649="S",C649="I"),-1,1),"")</f>
        <v>3422</v>
      </c>
      <c r="AW649" s="899">
        <f t="shared" si="65"/>
        <v>342</v>
      </c>
      <c r="AX649" s="899">
        <f>INDEX(V649:AG649,1,MATCH(Parametres!$B$3,V$1:AG$1,0))*IF(OR(C649="L",C649="S",C649="I"),-1,1)</f>
        <v>3764</v>
      </c>
      <c r="AY649" s="487" t="s">
        <v>337</v>
      </c>
      <c r="AZ649" s="487" t="str">
        <f>+VLOOKUP($AJ649,Data_Validation!$A:$E,5,0)</f>
        <v>Oui</v>
      </c>
    </row>
    <row r="650" spans="1:52" ht="15" customHeight="1">
      <c r="A650" s="706" t="s">
        <v>1148</v>
      </c>
      <c r="B650" s="706">
        <v>2025</v>
      </c>
      <c r="C650" s="706" t="s">
        <v>2560</v>
      </c>
      <c r="D650" s="706" t="s">
        <v>2561</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G48700</v>
      </c>
      <c r="AK650" s="905" t="str">
        <f t="shared" si="61"/>
        <v>*ESCOMPTES DE VOLUME</v>
      </c>
      <c r="AL650" s="905">
        <f>IFERROR(INDEX(G650:R650,1,MATCH(Parametres!$B$3,G$1:R$1,0)-1)*IF(OR(F650="L",F650="S",F650="I"),-1,1),"")</f>
        <v>0</v>
      </c>
      <c r="AM650" s="905">
        <f t="shared" si="62"/>
        <v>0</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63"/>
        <v>G48700</v>
      </c>
      <c r="AU650" s="488" t="str">
        <f t="shared" si="64"/>
        <v>*ESCOMPTES DE VOLUME</v>
      </c>
      <c r="AV650" s="899">
        <f>IFERROR(INDEX(V650:AG650,1,MATCH(Parametres!$B$3,V$1:AG$1,0)-1)*IF(OR(C650="L",C650="S",C650="I"),-1,1),"")</f>
        <v>0</v>
      </c>
      <c r="AW650" s="899">
        <f t="shared" si="65"/>
        <v>0</v>
      </c>
      <c r="AX650" s="899">
        <f>INDEX(V650:AG650,1,MATCH(Parametres!$B$3,V$1:AG$1,0))*IF(OR(C650="L",C650="S",C650="I"),-1,1)</f>
        <v>0</v>
      </c>
      <c r="AY650" s="487" t="s">
        <v>337</v>
      </c>
      <c r="AZ650" s="487">
        <f>+VLOOKUP($AJ650,Data_Validation!$A:$E,5,0)</f>
        <v>0</v>
      </c>
    </row>
    <row r="651" spans="1:52" ht="15" customHeight="1">
      <c r="A651" s="706" t="s">
        <v>1148</v>
      </c>
      <c r="B651" s="706">
        <v>2025</v>
      </c>
      <c r="C651" s="706" t="s">
        <v>2562</v>
      </c>
      <c r="D651" s="706" t="s">
        <v>2563</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905" t="str">
        <f t="shared" si="60"/>
        <v>G48800</v>
      </c>
      <c r="AK651" s="905" t="str">
        <f t="shared" si="61"/>
        <v>*RECTIFIC.STOCK PIECES</v>
      </c>
      <c r="AL651" s="905">
        <f>IFERROR(INDEX(G651:R651,1,MATCH(Parametres!$B$3,G$1:R$1,0)-1)*IF(OR(F651="L",F651="S",F651="I"),-1,1),"")</f>
        <v>0</v>
      </c>
      <c r="AM651" s="905">
        <f t="shared" si="62"/>
        <v>0</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63"/>
        <v>G48800</v>
      </c>
      <c r="AU651" s="488" t="str">
        <f t="shared" si="64"/>
        <v>*RECTIFIC.STOCK PIECES</v>
      </c>
      <c r="AV651" s="899">
        <f>IFERROR(INDEX(V651:AG651,1,MATCH(Parametres!$B$3,V$1:AG$1,0)-1)*IF(OR(C651="L",C651="S",C651="I"),-1,1),"")</f>
        <v>0</v>
      </c>
      <c r="AW651" s="899">
        <f t="shared" si="65"/>
        <v>0</v>
      </c>
      <c r="AX651" s="899">
        <f>INDEX(V651:AG651,1,MATCH(Parametres!$B$3,V$1:AG$1,0))*IF(OR(C651="L",C651="S",C651="I"),-1,1)</f>
        <v>0</v>
      </c>
      <c r="AY651" s="487" t="s">
        <v>337</v>
      </c>
      <c r="AZ651" s="487">
        <f>+VLOOKUP($AJ651,Data_Validation!$A:$E,5,0)</f>
        <v>0</v>
      </c>
    </row>
    <row r="652" spans="1:52" ht="15" hidden="1" customHeight="1">
      <c r="A652" s="706" t="s">
        <v>1148</v>
      </c>
      <c r="B652" s="706">
        <v>2025</v>
      </c>
      <c r="C652" s="706" t="s">
        <v>2564</v>
      </c>
      <c r="D652" s="706" t="s">
        <v>2565</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905" t="str">
        <f t="shared" si="60"/>
        <v>G49000</v>
      </c>
      <c r="AK652" s="905" t="str">
        <f t="shared" si="61"/>
        <v>VTES-DE PNEUS</v>
      </c>
      <c r="AL652" s="905">
        <f>IFERROR(INDEX(G652:R652,1,MATCH(Parametres!$B$3,G$1:R$1,0)-1)*IF(OR(F652="L",F652="S",F652="I"),-1,1),"")</f>
        <v>-106518.46</v>
      </c>
      <c r="AM652" s="905">
        <f t="shared" si="62"/>
        <v>-45122.559999999983</v>
      </c>
      <c r="AN652" s="905">
        <f>INDEX(G652:R652,1,MATCH(Parametres!$B$3,G$1:R$1,0))*IF(OR(F652="L",F652="S",F652="I"),-1,1)</f>
        <v>-151641.01999999999</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63"/>
        <v>G49000</v>
      </c>
      <c r="AU652" s="488" t="str">
        <f t="shared" si="64"/>
        <v>VTES-DE PNEUS</v>
      </c>
      <c r="AV652" s="899">
        <f>IFERROR(INDEX(V652:AG652,1,MATCH(Parametres!$B$3,V$1:AG$1,0)-1)*IF(OR(C652="L",C652="S",C652="I"),-1,1),"")</f>
        <v>135</v>
      </c>
      <c r="AW652" s="899">
        <f t="shared" si="65"/>
        <v>45</v>
      </c>
      <c r="AX652" s="899">
        <f>INDEX(V652:AG652,1,MATCH(Parametres!$B$3,V$1:AG$1,0))*IF(OR(C652="L",C652="S",C652="I"),-1,1)</f>
        <v>180</v>
      </c>
      <c r="AY652" s="487" t="s">
        <v>337</v>
      </c>
      <c r="AZ652" s="487" t="str">
        <f>+VLOOKUP($AJ652,Data_Validation!$A:$E,5,0)</f>
        <v>Oui</v>
      </c>
    </row>
    <row r="653" spans="1:52" ht="15" hidden="1" customHeight="1">
      <c r="A653" s="706" t="s">
        <v>1148</v>
      </c>
      <c r="B653" s="706">
        <v>2025</v>
      </c>
      <c r="C653" s="706" t="s">
        <v>2566</v>
      </c>
      <c r="D653" s="706" t="s">
        <v>2567</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905" t="str">
        <f t="shared" si="60"/>
        <v>G49100</v>
      </c>
      <c r="AK653" s="905" t="str">
        <f t="shared" si="61"/>
        <v>VTES-HUILES &amp; GRAISSE</v>
      </c>
      <c r="AL653" s="905">
        <f>IFERROR(INDEX(G653:R653,1,MATCH(Parametres!$B$3,G$1:R$1,0)-1)*IF(OR(F653="L",F653="S",F653="I"),-1,1),"")</f>
        <v>-69069.7</v>
      </c>
      <c r="AM653" s="905">
        <f t="shared" si="62"/>
        <v>-11596</v>
      </c>
      <c r="AN653" s="905">
        <f>INDEX(G653:R653,1,MATCH(Parametres!$B$3,G$1:R$1,0))*IF(OR(F653="L",F653="S",F653="I"),-1,1)</f>
        <v>-80665.7</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63"/>
        <v>G49100</v>
      </c>
      <c r="AU653" s="488" t="str">
        <f t="shared" si="64"/>
        <v>VTES-HUILES &amp; GRAISSE</v>
      </c>
      <c r="AV653" s="899">
        <f>IFERROR(INDEX(V653:AG653,1,MATCH(Parametres!$B$3,V$1:AG$1,0)-1)*IF(OR(C653="L",C653="S",C653="I"),-1,1),"")</f>
        <v>797</v>
      </c>
      <c r="AW653" s="899">
        <f t="shared" si="65"/>
        <v>162</v>
      </c>
      <c r="AX653" s="899">
        <f>INDEX(V653:AG653,1,MATCH(Parametres!$B$3,V$1:AG$1,0))*IF(OR(C653="L",C653="S",C653="I"),-1,1)</f>
        <v>959</v>
      </c>
      <c r="AY653" s="487" t="s">
        <v>337</v>
      </c>
      <c r="AZ653" s="487" t="str">
        <f>+VLOOKUP($AJ653,Data_Validation!$A:$E,5,0)</f>
        <v>Oui</v>
      </c>
    </row>
    <row r="654" spans="1:52" ht="15" hidden="1" customHeight="1">
      <c r="A654" s="706" t="s">
        <v>1148</v>
      </c>
      <c r="B654" s="706">
        <v>2025</v>
      </c>
      <c r="C654" s="706" t="s">
        <v>2568</v>
      </c>
      <c r="D654" s="706" t="s">
        <v>2569</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905" t="str">
        <f t="shared" si="60"/>
        <v>G50210</v>
      </c>
      <c r="AK654" s="905" t="str">
        <f t="shared" si="61"/>
        <v>REVENUS LOCATION SERVICE</v>
      </c>
      <c r="AL654" s="905">
        <f>IFERROR(INDEX(G654:R654,1,MATCH(Parametres!$B$3,G$1:R$1,0)-1)*IF(OR(F654="L",F654="S",F654="I"),-1,1),"")</f>
        <v>266.63</v>
      </c>
      <c r="AM654" s="905">
        <f t="shared" si="62"/>
        <v>0</v>
      </c>
      <c r="AN654" s="905">
        <f>INDEX(G654:R654,1,MATCH(Parametres!$B$3,G$1:R$1,0))*IF(OR(F654="L",F654="S",F654="I"),-1,1)</f>
        <v>266.63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63"/>
        <v>G50210</v>
      </c>
      <c r="AU654" s="488" t="str">
        <f t="shared" si="64"/>
        <v>REVENUS LOCATION SERVICE</v>
      </c>
      <c r="AV654" s="899">
        <f>IFERROR(INDEX(V654:AG654,1,MATCH(Parametres!$B$3,V$1:AG$1,0)-1)*IF(OR(C654="L",C654="S",C654="I"),-1,1),"")</f>
        <v>-1</v>
      </c>
      <c r="AW654" s="899">
        <f t="shared" si="65"/>
        <v>0</v>
      </c>
      <c r="AX654" s="899">
        <f>INDEX(V654:AG654,1,MATCH(Parametres!$B$3,V$1:AG$1,0))*IF(OR(C654="L",C654="S",C654="I"),-1,1)</f>
        <v>-1</v>
      </c>
      <c r="AY654" s="487" t="s">
        <v>337</v>
      </c>
      <c r="AZ654" s="487">
        <f>+VLOOKUP($AJ654,Data_Validation!$A:$E,5,0)</f>
        <v>0</v>
      </c>
    </row>
    <row r="655" spans="1:52" ht="15" hidden="1" customHeight="1">
      <c r="A655" s="706" t="s">
        <v>1148</v>
      </c>
      <c r="B655" s="706">
        <v>2025</v>
      </c>
      <c r="C655" s="706" t="s">
        <v>2570</v>
      </c>
      <c r="D655" s="706" t="s">
        <v>2571</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905" t="str">
        <f t="shared" si="60"/>
        <v>G50220</v>
      </c>
      <c r="AK655" s="905" t="str">
        <f t="shared" si="61"/>
        <v>REVENUS LOCATION BODY</v>
      </c>
      <c r="AL655" s="905">
        <f>IFERROR(INDEX(G655:R655,1,MATCH(Parametres!$B$3,G$1:R$1,0)-1)*IF(OR(F655="L",F655="S",F655="I"),-1,1),"")</f>
        <v>7363.73</v>
      </c>
      <c r="AM655" s="905">
        <f t="shared" si="62"/>
        <v>84</v>
      </c>
      <c r="AN655" s="905">
        <f>INDEX(G655:R655,1,MATCH(Parametres!$B$3,G$1:R$1,0))*IF(OR(F655="L",F655="S",F655="I"),-1,1)</f>
        <v>7447.73</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63"/>
        <v>G50220</v>
      </c>
      <c r="AU655" s="488" t="str">
        <f t="shared" si="64"/>
        <v>REVENUS LOCATION BODY</v>
      </c>
      <c r="AV655" s="899">
        <f>IFERROR(INDEX(V655:AG655,1,MATCH(Parametres!$B$3,V$1:AG$1,0)-1)*IF(OR(C655="L",C655="S",C655="I"),-1,1),"")</f>
        <v>-11</v>
      </c>
      <c r="AW655" s="899">
        <f t="shared" si="65"/>
        <v>-1</v>
      </c>
      <c r="AX655" s="899">
        <f>INDEX(V655:AG655,1,MATCH(Parametres!$B$3,V$1:AG$1,0))*IF(OR(C655="L",C655="S",C655="I"),-1,1)</f>
        <v>-12</v>
      </c>
      <c r="AY655" s="487" t="s">
        <v>337</v>
      </c>
      <c r="AZ655" s="487">
        <f>+VLOOKUP($AJ655,Data_Validation!$A:$E,5,0)</f>
        <v>0</v>
      </c>
    </row>
    <row r="656" spans="1:52" ht="15" customHeight="1">
      <c r="A656" s="706" t="s">
        <v>1148</v>
      </c>
      <c r="B656" s="706">
        <v>2025</v>
      </c>
      <c r="C656" s="706" t="s">
        <v>2572</v>
      </c>
      <c r="D656" s="706" t="s">
        <v>2573</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G511</v>
      </c>
      <c r="AK656" s="905" t="str">
        <f t="shared" si="61"/>
        <v>PMNT PER. LOC.BAIL-SIMPLE</v>
      </c>
      <c r="AL656" s="905">
        <f>IFERROR(INDEX(G656:R656,1,MATCH(Parametres!$B$3,G$1:R$1,0)-1)*IF(OR(F656="L",F656="S",F656="I"),-1,1),"")</f>
        <v>0</v>
      </c>
      <c r="AM656" s="905">
        <f t="shared" si="62"/>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63"/>
        <v>G511</v>
      </c>
      <c r="AU656" s="488" t="str">
        <f t="shared" si="64"/>
        <v>PMNT PER. LOC.BAIL-SIMPLE</v>
      </c>
      <c r="AV656" s="899">
        <f>IFERROR(INDEX(V656:AG656,1,MATCH(Parametres!$B$3,V$1:AG$1,0)-1)*IF(OR(C656="L",C656="S",C656="I"),-1,1),"")</f>
        <v>0</v>
      </c>
      <c r="AW656" s="899">
        <f t="shared" si="65"/>
        <v>0</v>
      </c>
      <c r="AX656" s="899">
        <f>INDEX(V656:AG656,1,MATCH(Parametres!$B$3,V$1:AG$1,0))*IF(OR(C656="L",C656="S",C656="I"),-1,1)</f>
        <v>0</v>
      </c>
      <c r="AY656" s="487" t="s">
        <v>337</v>
      </c>
      <c r="AZ656" s="487" t="e">
        <f>+VLOOKUP($AJ656,Data_Validation!$A:$E,5,0)</f>
        <v>#N/A</v>
      </c>
    </row>
    <row r="657" spans="1:52" ht="15" customHeight="1">
      <c r="A657" s="706" t="s">
        <v>1148</v>
      </c>
      <c r="B657" s="706">
        <v>2025</v>
      </c>
      <c r="C657" s="706" t="s">
        <v>2574</v>
      </c>
      <c r="D657" s="706" t="s">
        <v>2575</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G512</v>
      </c>
      <c r="AK657" s="905" t="str">
        <f t="shared" si="61"/>
        <v>REVENU ENTRETIEN  -SIMPLE</v>
      </c>
      <c r="AL657" s="905">
        <f>IFERROR(INDEX(G657:R657,1,MATCH(Parametres!$B$3,G$1:R$1,0)-1)*IF(OR(F657="L",F657="S",F657="I"),-1,1),"")</f>
        <v>0</v>
      </c>
      <c r="AM657" s="905">
        <f t="shared" si="62"/>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63"/>
        <v>G512</v>
      </c>
      <c r="AU657" s="488" t="str">
        <f t="shared" si="64"/>
        <v>REVENU ENTRETIEN  -SIMPLE</v>
      </c>
      <c r="AV657" s="899">
        <f>IFERROR(INDEX(V657:AG657,1,MATCH(Parametres!$B$3,V$1:AG$1,0)-1)*IF(OR(C657="L",C657="S",C657="I"),-1,1),"")</f>
        <v>0</v>
      </c>
      <c r="AW657" s="899">
        <f t="shared" si="65"/>
        <v>0</v>
      </c>
      <c r="AX657" s="899">
        <f>INDEX(V657:AG657,1,MATCH(Parametres!$B$3,V$1:AG$1,0))*IF(OR(C657="L",C657="S",C657="I"),-1,1)</f>
        <v>0</v>
      </c>
      <c r="AY657" s="487" t="s">
        <v>337</v>
      </c>
      <c r="AZ657" s="487" t="e">
        <f>+VLOOKUP($AJ657,Data_Validation!$A:$E,5,0)</f>
        <v>#N/A</v>
      </c>
    </row>
    <row r="658" spans="1:52" ht="15" customHeight="1">
      <c r="A658" s="706" t="s">
        <v>1148</v>
      </c>
      <c r="B658" s="706">
        <v>2025</v>
      </c>
      <c r="C658" s="706" t="s">
        <v>2576</v>
      </c>
      <c r="D658" s="706" t="s">
        <v>2577</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G513</v>
      </c>
      <c r="AK658" s="905" t="str">
        <f t="shared" si="61"/>
        <v>REV.PARTIEL MOIS  -SIMPLE</v>
      </c>
      <c r="AL658" s="905">
        <f>IFERROR(INDEX(G658:R658,1,MATCH(Parametres!$B$3,G$1:R$1,0)-1)*IF(OR(F658="L",F658="S",F658="I"),-1,1),"")</f>
        <v>0</v>
      </c>
      <c r="AM658" s="905">
        <f t="shared" si="62"/>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63"/>
        <v>G513</v>
      </c>
      <c r="AU658" s="488" t="str">
        <f t="shared" si="64"/>
        <v>REV.PARTIEL MOIS  -SIMPLE</v>
      </c>
      <c r="AV658" s="899">
        <f>IFERROR(INDEX(V658:AG658,1,MATCH(Parametres!$B$3,V$1:AG$1,0)-1)*IF(OR(C658="L",C658="S",C658="I"),-1,1),"")</f>
        <v>0</v>
      </c>
      <c r="AW658" s="899">
        <f t="shared" si="65"/>
        <v>0</v>
      </c>
      <c r="AX658" s="899">
        <f>INDEX(V658:AG658,1,MATCH(Parametres!$B$3,V$1:AG$1,0))*IF(OR(C658="L",C658="S",C658="I"),-1,1)</f>
        <v>0</v>
      </c>
      <c r="AY658" s="487" t="s">
        <v>337</v>
      </c>
      <c r="AZ658" s="487" t="e">
        <f>+VLOOKUP($AJ658,Data_Validation!$A:$E,5,0)</f>
        <v>#N/A</v>
      </c>
    </row>
    <row r="659" spans="1:52" ht="15" customHeight="1">
      <c r="A659" s="706" t="s">
        <v>1148</v>
      </c>
      <c r="B659" s="706">
        <v>2025</v>
      </c>
      <c r="C659" s="706" t="s">
        <v>2578</v>
      </c>
      <c r="D659" s="706" t="s">
        <v>2579</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905" t="str">
        <f t="shared" ref="AJ659:AJ722" si="66">C659</f>
        <v>G514</v>
      </c>
      <c r="AK659" s="905" t="str">
        <f t="shared" ref="AK659:AK722" si="67">D659</f>
        <v>FRAIS PMNT TARDIF -SIMPLE</v>
      </c>
      <c r="AL659" s="905">
        <f>IFERROR(INDEX(G659:R659,1,MATCH(Parametres!$B$3,G$1:R$1,0)-1)*IF(OR(F659="L",F659="S",F659="I"),-1,1),"")</f>
        <v>0</v>
      </c>
      <c r="AM659" s="905">
        <f t="shared" si="62"/>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63"/>
        <v>G514</v>
      </c>
      <c r="AU659" s="488" t="str">
        <f t="shared" si="64"/>
        <v>FRAIS PMNT TARDIF -SIMPLE</v>
      </c>
      <c r="AV659" s="899">
        <f>IFERROR(INDEX(V659:AG659,1,MATCH(Parametres!$B$3,V$1:AG$1,0)-1)*IF(OR(C659="L",C659="S",C659="I"),-1,1),"")</f>
        <v>0</v>
      </c>
      <c r="AW659" s="899">
        <f t="shared" si="65"/>
        <v>0</v>
      </c>
      <c r="AX659" s="899">
        <f>INDEX(V659:AG659,1,MATCH(Parametres!$B$3,V$1:AG$1,0))*IF(OR(C659="L",C659="S",C659="I"),-1,1)</f>
        <v>0</v>
      </c>
      <c r="AY659" s="487" t="s">
        <v>337</v>
      </c>
      <c r="AZ659" s="487" t="e">
        <f>+VLOOKUP($AJ659,Data_Validation!$A:$E,5,0)</f>
        <v>#N/A</v>
      </c>
    </row>
    <row r="660" spans="1:52" ht="15" customHeight="1">
      <c r="A660" s="706" t="s">
        <v>1148</v>
      </c>
      <c r="B660" s="706">
        <v>2025</v>
      </c>
      <c r="C660" s="706" t="s">
        <v>2580</v>
      </c>
      <c r="D660" s="706" t="s">
        <v>2581</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905" t="str">
        <f t="shared" si="66"/>
        <v>G516</v>
      </c>
      <c r="AK660" s="905" t="str">
        <f t="shared" si="67"/>
        <v>FRAIS ADMINIST.   -SIMPLE</v>
      </c>
      <c r="AL660" s="905">
        <f>IFERROR(INDEX(G660:R660,1,MATCH(Parametres!$B$3,G$1:R$1,0)-1)*IF(OR(F660="L",F660="S",F660="I"),-1,1),"")</f>
        <v>0</v>
      </c>
      <c r="AM660" s="905">
        <f t="shared" si="62"/>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63"/>
        <v>G516</v>
      </c>
      <c r="AU660" s="488" t="str">
        <f t="shared" si="64"/>
        <v>FRAIS ADMINIST.   -SIMPLE</v>
      </c>
      <c r="AV660" s="899">
        <f>IFERROR(INDEX(V660:AG660,1,MATCH(Parametres!$B$3,V$1:AG$1,0)-1)*IF(OR(C660="L",C660="S",C660="I"),-1,1),"")</f>
        <v>0</v>
      </c>
      <c r="AW660" s="899">
        <f t="shared" si="65"/>
        <v>0</v>
      </c>
      <c r="AX660" s="899">
        <f>INDEX(V660:AG660,1,MATCH(Parametres!$B$3,V$1:AG$1,0))*IF(OR(C660="L",C660="S",C660="I"),-1,1)</f>
        <v>0</v>
      </c>
      <c r="AY660" s="487" t="s">
        <v>337</v>
      </c>
      <c r="AZ660" s="487" t="e">
        <f>+VLOOKUP($AJ660,Data_Validation!$A:$E,5,0)</f>
        <v>#N/A</v>
      </c>
    </row>
    <row r="661" spans="1:52" ht="15" customHeight="1">
      <c r="A661" s="706" t="s">
        <v>1148</v>
      </c>
      <c r="B661" s="706">
        <v>2025</v>
      </c>
      <c r="C661" s="706" t="s">
        <v>2582</v>
      </c>
      <c r="D661" s="706" t="s">
        <v>2583</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G517</v>
      </c>
      <c r="AK661" s="905" t="str">
        <f t="shared" si="67"/>
        <v>AUTRES REV.LOCAT. -SIMPLE</v>
      </c>
      <c r="AL661" s="905">
        <f>IFERROR(INDEX(G661:R661,1,MATCH(Parametres!$B$3,G$1:R$1,0)-1)*IF(OR(F661="L",F661="S",F661="I"),-1,1),"")</f>
        <v>0</v>
      </c>
      <c r="AM661" s="905">
        <f t="shared" si="62"/>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G517</v>
      </c>
      <c r="AU661" s="488" t="str">
        <f t="shared" si="64"/>
        <v>AUTRES REV.LOCAT. -SIMPLE</v>
      </c>
      <c r="AV661" s="899">
        <f>IFERROR(INDEX(V661:AG661,1,MATCH(Parametres!$B$3,V$1:AG$1,0)-1)*IF(OR(C661="L",C661="S",C661="I"),-1,1),"")</f>
        <v>0</v>
      </c>
      <c r="AW661" s="899">
        <f t="shared" si="65"/>
        <v>0</v>
      </c>
      <c r="AX661" s="899">
        <f>INDEX(V661:AG661,1,MATCH(Parametres!$B$3,V$1:AG$1,0))*IF(OR(C661="L",C661="S",C661="I"),-1,1)</f>
        <v>0</v>
      </c>
      <c r="AY661" s="487" t="s">
        <v>337</v>
      </c>
      <c r="AZ661" s="487" t="e">
        <f>+VLOOKUP($AJ661,Data_Validation!$A:$E,5,0)</f>
        <v>#N/A</v>
      </c>
    </row>
    <row r="662" spans="1:52" ht="15" customHeight="1">
      <c r="A662" s="706" t="s">
        <v>1148</v>
      </c>
      <c r="B662" s="706">
        <v>2025</v>
      </c>
      <c r="C662" s="706" t="s">
        <v>2584</v>
      </c>
      <c r="D662" s="706" t="s">
        <v>2585</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G521</v>
      </c>
      <c r="AK662" s="905" t="str">
        <f t="shared" si="67"/>
        <v>PMNT PER. LOC.BAIL-ALEATO</v>
      </c>
      <c r="AL662" s="905">
        <f>IFERROR(INDEX(G662:R662,1,MATCH(Parametres!$B$3,G$1:R$1,0)-1)*IF(OR(F662="L",F662="S",F662="I"),-1,1),"")</f>
        <v>0</v>
      </c>
      <c r="AM662" s="905">
        <f t="shared" si="62"/>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63"/>
        <v>G521</v>
      </c>
      <c r="AU662" s="488" t="str">
        <f t="shared" si="64"/>
        <v>PMNT PER. LOC.BAIL-ALEATO</v>
      </c>
      <c r="AV662" s="899">
        <f>IFERROR(INDEX(V662:AG662,1,MATCH(Parametres!$B$3,V$1:AG$1,0)-1)*IF(OR(C662="L",C662="S",C662="I"),-1,1),"")</f>
        <v>0</v>
      </c>
      <c r="AW662" s="899">
        <f t="shared" si="65"/>
        <v>0</v>
      </c>
      <c r="AX662" s="899">
        <f>INDEX(V662:AG662,1,MATCH(Parametres!$B$3,V$1:AG$1,0))*IF(OR(C662="L",C662="S",C662="I"),-1,1)</f>
        <v>0</v>
      </c>
      <c r="AY662" s="487" t="s">
        <v>337</v>
      </c>
      <c r="AZ662" s="487" t="e">
        <f>+VLOOKUP($AJ662,Data_Validation!$A:$E,5,0)</f>
        <v>#N/A</v>
      </c>
    </row>
    <row r="663" spans="1:52" ht="15" customHeight="1">
      <c r="A663" s="706" t="s">
        <v>1148</v>
      </c>
      <c r="B663" s="706">
        <v>2025</v>
      </c>
      <c r="C663" s="706" t="s">
        <v>2586</v>
      </c>
      <c r="D663" s="706" t="s">
        <v>2587</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905" t="str">
        <f t="shared" si="66"/>
        <v>G522</v>
      </c>
      <c r="AK663" s="905" t="str">
        <f t="shared" si="67"/>
        <v>REVENU ENTRETIEN  -ALEATO</v>
      </c>
      <c r="AL663" s="905">
        <f>IFERROR(INDEX(G663:R663,1,MATCH(Parametres!$B$3,G$1:R$1,0)-1)*IF(OR(F663="L",F663="S",F663="I"),-1,1),"")</f>
        <v>0</v>
      </c>
      <c r="AM663" s="905">
        <f t="shared" si="62"/>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63"/>
        <v>G522</v>
      </c>
      <c r="AU663" s="488" t="str">
        <f t="shared" si="64"/>
        <v>REVENU ENTRETIEN  -ALEATO</v>
      </c>
      <c r="AV663" s="899">
        <f>IFERROR(INDEX(V663:AG663,1,MATCH(Parametres!$B$3,V$1:AG$1,0)-1)*IF(OR(C663="L",C663="S",C663="I"),-1,1),"")</f>
        <v>0</v>
      </c>
      <c r="AW663" s="899">
        <f t="shared" si="65"/>
        <v>0</v>
      </c>
      <c r="AX663" s="899">
        <f>INDEX(V663:AG663,1,MATCH(Parametres!$B$3,V$1:AG$1,0))*IF(OR(C663="L",C663="S",C663="I"),-1,1)</f>
        <v>0</v>
      </c>
      <c r="AY663" s="487" t="s">
        <v>337</v>
      </c>
      <c r="AZ663" s="487" t="e">
        <f>+VLOOKUP($AJ663,Data_Validation!$A:$E,5,0)</f>
        <v>#N/A</v>
      </c>
    </row>
    <row r="664" spans="1:52" ht="15" customHeight="1">
      <c r="A664" s="706" t="s">
        <v>1148</v>
      </c>
      <c r="B664" s="706">
        <v>2025</v>
      </c>
      <c r="C664" s="706" t="s">
        <v>2588</v>
      </c>
      <c r="D664" s="706" t="s">
        <v>2589</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G523</v>
      </c>
      <c r="AK664" s="905" t="str">
        <f t="shared" si="67"/>
        <v>REV.PARTIEL MOIS  -ALEATO</v>
      </c>
      <c r="AL664" s="905">
        <f>IFERROR(INDEX(G664:R664,1,MATCH(Parametres!$B$3,G$1:R$1,0)-1)*IF(OR(F664="L",F664="S",F664="I"),-1,1),"")</f>
        <v>0</v>
      </c>
      <c r="AM664" s="905">
        <f t="shared" si="62"/>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63"/>
        <v>G523</v>
      </c>
      <c r="AU664" s="488" t="str">
        <f t="shared" si="64"/>
        <v>REV.PARTIEL MOIS  -ALEATO</v>
      </c>
      <c r="AV664" s="899">
        <f>IFERROR(INDEX(V664:AG664,1,MATCH(Parametres!$B$3,V$1:AG$1,0)-1)*IF(OR(C664="L",C664="S",C664="I"),-1,1),"")</f>
        <v>0</v>
      </c>
      <c r="AW664" s="899">
        <f t="shared" si="65"/>
        <v>0</v>
      </c>
      <c r="AX664" s="899">
        <f>INDEX(V664:AG664,1,MATCH(Parametres!$B$3,V$1:AG$1,0))*IF(OR(C664="L",C664="S",C664="I"),-1,1)</f>
        <v>0</v>
      </c>
      <c r="AY664" s="487" t="s">
        <v>337</v>
      </c>
      <c r="AZ664" s="487" t="e">
        <f>+VLOOKUP($AJ664,Data_Validation!$A:$E,5,0)</f>
        <v>#N/A</v>
      </c>
    </row>
    <row r="665" spans="1:52" ht="15" customHeight="1">
      <c r="A665" s="706" t="s">
        <v>1148</v>
      </c>
      <c r="B665" s="706">
        <v>2025</v>
      </c>
      <c r="C665" s="706" t="s">
        <v>2590</v>
      </c>
      <c r="D665" s="706" t="s">
        <v>2591</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905" t="str">
        <f t="shared" si="66"/>
        <v>G524</v>
      </c>
      <c r="AK665" s="905" t="str">
        <f t="shared" si="67"/>
        <v>FRAIS PMNT TARDIF -ALEATO</v>
      </c>
      <c r="AL665" s="905">
        <f>IFERROR(INDEX(G665:R665,1,MATCH(Parametres!$B$3,G$1:R$1,0)-1)*IF(OR(F665="L",F665="S",F665="I"),-1,1),"")</f>
        <v>0</v>
      </c>
      <c r="AM665" s="905">
        <f t="shared" si="62"/>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63"/>
        <v>G524</v>
      </c>
      <c r="AU665" s="488" t="str">
        <f t="shared" si="64"/>
        <v>FRAIS PMNT TARDIF -ALEATO</v>
      </c>
      <c r="AV665" s="899">
        <f>IFERROR(INDEX(V665:AG665,1,MATCH(Parametres!$B$3,V$1:AG$1,0)-1)*IF(OR(C665="L",C665="S",C665="I"),-1,1),"")</f>
        <v>0</v>
      </c>
      <c r="AW665" s="899">
        <f t="shared" si="65"/>
        <v>0</v>
      </c>
      <c r="AX665" s="899">
        <f>INDEX(V665:AG665,1,MATCH(Parametres!$B$3,V$1:AG$1,0))*IF(OR(C665="L",C665="S",C665="I"),-1,1)</f>
        <v>0</v>
      </c>
      <c r="AY665" s="487" t="s">
        <v>337</v>
      </c>
      <c r="AZ665" s="487" t="e">
        <f>+VLOOKUP($AJ665,Data_Validation!$A:$E,5,0)</f>
        <v>#N/A</v>
      </c>
    </row>
    <row r="666" spans="1:52" ht="15" customHeight="1">
      <c r="A666" s="706" t="s">
        <v>1148</v>
      </c>
      <c r="B666" s="706">
        <v>2025</v>
      </c>
      <c r="C666" s="706" t="s">
        <v>2592</v>
      </c>
      <c r="D666" s="706" t="s">
        <v>2593</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G526</v>
      </c>
      <c r="AK666" s="905" t="str">
        <f t="shared" si="67"/>
        <v>FRAIS ADMINIST.   -ALEATO</v>
      </c>
      <c r="AL666" s="905">
        <f>IFERROR(INDEX(G666:R666,1,MATCH(Parametres!$B$3,G$1:R$1,0)-1)*IF(OR(F666="L",F666="S",F666="I"),-1,1),"")</f>
        <v>0</v>
      </c>
      <c r="AM666" s="905">
        <f t="shared" si="62"/>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63"/>
        <v>G526</v>
      </c>
      <c r="AU666" s="488" t="str">
        <f t="shared" si="64"/>
        <v>FRAIS ADMINIST.   -ALEATO</v>
      </c>
      <c r="AV666" s="899">
        <f>IFERROR(INDEX(V666:AG666,1,MATCH(Parametres!$B$3,V$1:AG$1,0)-1)*IF(OR(C666="L",C666="S",C666="I"),-1,1),"")</f>
        <v>0</v>
      </c>
      <c r="AW666" s="899">
        <f t="shared" si="65"/>
        <v>0</v>
      </c>
      <c r="AX666" s="899">
        <f>INDEX(V666:AG666,1,MATCH(Parametres!$B$3,V$1:AG$1,0))*IF(OR(C666="L",C666="S",C666="I"),-1,1)</f>
        <v>0</v>
      </c>
      <c r="AY666" s="487" t="s">
        <v>337</v>
      </c>
      <c r="AZ666" s="487" t="e">
        <f>+VLOOKUP($AJ666,Data_Validation!$A:$E,5,0)</f>
        <v>#N/A</v>
      </c>
    </row>
    <row r="667" spans="1:52" ht="15" customHeight="1">
      <c r="A667" s="706" t="s">
        <v>1148</v>
      </c>
      <c r="B667" s="706">
        <v>2025</v>
      </c>
      <c r="C667" s="706" t="s">
        <v>2594</v>
      </c>
      <c r="D667" s="706" t="s">
        <v>2595</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G527</v>
      </c>
      <c r="AK667" s="905" t="str">
        <f t="shared" si="67"/>
        <v>AUTRES REV.LOCAT. -ALEATO</v>
      </c>
      <c r="AL667" s="905">
        <f>IFERROR(INDEX(G667:R667,1,MATCH(Parametres!$B$3,G$1:R$1,0)-1)*IF(OR(F667="L",F667="S",F667="I"),-1,1),"")</f>
        <v>0</v>
      </c>
      <c r="AM667" s="905">
        <f t="shared" si="62"/>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63"/>
        <v>G527</v>
      </c>
      <c r="AU667" s="488" t="str">
        <f t="shared" si="64"/>
        <v>AUTRES REV.LOCAT. -ALEATO</v>
      </c>
      <c r="AV667" s="899">
        <f>IFERROR(INDEX(V667:AG667,1,MATCH(Parametres!$B$3,V$1:AG$1,0)-1)*IF(OR(C667="L",C667="S",C667="I"),-1,1),"")</f>
        <v>0</v>
      </c>
      <c r="AW667" s="899">
        <f t="shared" si="65"/>
        <v>0</v>
      </c>
      <c r="AX667" s="899">
        <f>INDEX(V667:AG667,1,MATCH(Parametres!$B$3,V$1:AG$1,0))*IF(OR(C667="L",C667="S",C667="I"),-1,1)</f>
        <v>0</v>
      </c>
      <c r="AY667" s="487" t="s">
        <v>337</v>
      </c>
      <c r="AZ667" s="487" t="e">
        <f>+VLOOKUP($AJ667,Data_Validation!$A:$E,5,0)</f>
        <v>#N/A</v>
      </c>
    </row>
    <row r="668" spans="1:52" ht="15" customHeight="1">
      <c r="A668" s="706" t="s">
        <v>1148</v>
      </c>
      <c r="B668" s="706">
        <v>2025</v>
      </c>
      <c r="C668" s="706" t="s">
        <v>2596</v>
      </c>
      <c r="D668" s="706" t="s">
        <v>2597</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905" t="str">
        <f t="shared" si="66"/>
        <v>G53000</v>
      </c>
      <c r="AK668" s="905" t="str">
        <f t="shared" si="67"/>
        <v>PRIX VTE VEHICULES CEDES</v>
      </c>
      <c r="AL668" s="905">
        <f>IFERROR(INDEX(G668:R668,1,MATCH(Parametres!$B$3,G$1:R$1,0)-1)*IF(OR(F668="L",F668="S",F668="I"),-1,1),"")</f>
        <v>0</v>
      </c>
      <c r="AM668" s="905">
        <f t="shared" si="62"/>
        <v>0</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63"/>
        <v>G53000</v>
      </c>
      <c r="AU668" s="488" t="str">
        <f t="shared" si="64"/>
        <v>PRIX VTE VEHICULES CEDES</v>
      </c>
      <c r="AV668" s="899">
        <f>IFERROR(INDEX(V668:AG668,1,MATCH(Parametres!$B$3,V$1:AG$1,0)-1)*IF(OR(C668="L",C668="S",C668="I"),-1,1),"")</f>
        <v>0</v>
      </c>
      <c r="AW668" s="899">
        <f t="shared" si="65"/>
        <v>0</v>
      </c>
      <c r="AX668" s="899">
        <f>INDEX(V668:AG668,1,MATCH(Parametres!$B$3,V$1:AG$1,0))*IF(OR(C668="L",C668="S",C668="I"),-1,1)</f>
        <v>0</v>
      </c>
      <c r="AY668" s="487" t="s">
        <v>337</v>
      </c>
      <c r="AZ668" s="487">
        <f>+VLOOKUP($AJ668,Data_Validation!$A:$E,5,0)</f>
        <v>0</v>
      </c>
    </row>
    <row r="669" spans="1:52" ht="15" customHeight="1">
      <c r="A669" s="706" t="s">
        <v>1148</v>
      </c>
      <c r="B669" s="706">
        <v>2025</v>
      </c>
      <c r="C669" s="706" t="s">
        <v>2598</v>
      </c>
      <c r="D669" s="706" t="s">
        <v>2599</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G534</v>
      </c>
      <c r="AK669" s="905" t="str">
        <f t="shared" si="67"/>
        <v>FRAIS PMNT TARDIF    -C/T</v>
      </c>
      <c r="AL669" s="905">
        <f>IFERROR(INDEX(G669:R669,1,MATCH(Parametres!$B$3,G$1:R$1,0)-1)*IF(OR(F669="L",F669="S",F669="I"),-1,1),"")</f>
        <v>0</v>
      </c>
      <c r="AM669" s="905">
        <f t="shared" si="62"/>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63"/>
        <v>G534</v>
      </c>
      <c r="AU669" s="488" t="str">
        <f t="shared" si="64"/>
        <v>FRAIS PMNT TARDIF    -C/T</v>
      </c>
      <c r="AV669" s="899">
        <f>IFERROR(INDEX(V669:AG669,1,MATCH(Parametres!$B$3,V$1:AG$1,0)-1)*IF(OR(C669="L",C669="S",C669="I"),-1,1),"")</f>
        <v>0</v>
      </c>
      <c r="AW669" s="899">
        <f t="shared" si="65"/>
        <v>0</v>
      </c>
      <c r="AX669" s="899">
        <f>INDEX(V669:AG669,1,MATCH(Parametres!$B$3,V$1:AG$1,0))*IF(OR(C669="L",C669="S",C669="I"),-1,1)</f>
        <v>0</v>
      </c>
      <c r="AY669" s="487" t="s">
        <v>337</v>
      </c>
      <c r="AZ669" s="487" t="e">
        <f>+VLOOKUP($AJ669,Data_Validation!$A:$E,5,0)</f>
        <v>#N/A</v>
      </c>
    </row>
    <row r="670" spans="1:52" ht="15" customHeight="1">
      <c r="A670" s="706" t="s">
        <v>1148</v>
      </c>
      <c r="B670" s="706">
        <v>2025</v>
      </c>
      <c r="C670" s="706" t="s">
        <v>2600</v>
      </c>
      <c r="D670" s="706" t="s">
        <v>2601</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905" t="str">
        <f t="shared" si="66"/>
        <v>G535</v>
      </c>
      <c r="AK670" s="905" t="str">
        <f t="shared" si="67"/>
        <v>REV.LOCATION C/T     -C/T</v>
      </c>
      <c r="AL670" s="905">
        <f>IFERROR(INDEX(G670:R670,1,MATCH(Parametres!$B$3,G$1:R$1,0)-1)*IF(OR(F670="L",F670="S",F670="I"),-1,1),"")</f>
        <v>0</v>
      </c>
      <c r="AM670" s="905">
        <f t="shared" si="62"/>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63"/>
        <v>G535</v>
      </c>
      <c r="AU670" s="488" t="str">
        <f t="shared" si="64"/>
        <v>REV.LOCATION C/T     -C/T</v>
      </c>
      <c r="AV670" s="899">
        <f>IFERROR(INDEX(V670:AG670,1,MATCH(Parametres!$B$3,V$1:AG$1,0)-1)*IF(OR(C670="L",C670="S",C670="I"),-1,1),"")</f>
        <v>0</v>
      </c>
      <c r="AW670" s="899">
        <f t="shared" si="65"/>
        <v>0</v>
      </c>
      <c r="AX670" s="899">
        <f>INDEX(V670:AG670,1,MATCH(Parametres!$B$3,V$1:AG$1,0))*IF(OR(C670="L",C670="S",C670="I"),-1,1)</f>
        <v>0</v>
      </c>
      <c r="AY670" s="487" t="s">
        <v>337</v>
      </c>
      <c r="AZ670" s="487" t="e">
        <f>+VLOOKUP($AJ670,Data_Validation!$A:$E,5,0)</f>
        <v>#N/A</v>
      </c>
    </row>
    <row r="671" spans="1:52" ht="15" customHeight="1">
      <c r="A671" s="706" t="s">
        <v>1148</v>
      </c>
      <c r="B671" s="706">
        <v>2025</v>
      </c>
      <c r="C671" s="706" t="s">
        <v>2602</v>
      </c>
      <c r="D671" s="706" t="s">
        <v>2603</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905" t="str">
        <f t="shared" si="66"/>
        <v>G53500</v>
      </c>
      <c r="AK671" s="905" t="str">
        <f t="shared" si="67"/>
        <v>REVENUS LOCATION C/TERME</v>
      </c>
      <c r="AL671" s="905">
        <f>IFERROR(INDEX(G671:R671,1,MATCH(Parametres!$B$3,G$1:R$1,0)-1)*IF(OR(F671="L",F671="S",F671="I"),-1,1),"")</f>
        <v>0</v>
      </c>
      <c r="AM671" s="905">
        <f t="shared" si="62"/>
        <v>0</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63"/>
        <v>G53500</v>
      </c>
      <c r="AU671" s="488" t="str">
        <f t="shared" si="64"/>
        <v>REVENUS LOCATION C/TERME</v>
      </c>
      <c r="AV671" s="899">
        <f>IFERROR(INDEX(V671:AG671,1,MATCH(Parametres!$B$3,V$1:AG$1,0)-1)*IF(OR(C671="L",C671="S",C671="I"),-1,1),"")</f>
        <v>0</v>
      </c>
      <c r="AW671" s="899">
        <f t="shared" si="65"/>
        <v>0</v>
      </c>
      <c r="AX671" s="899">
        <f>INDEX(V671:AG671,1,MATCH(Parametres!$B$3,V$1:AG$1,0))*IF(OR(C671="L",C671="S",C671="I"),-1,1)</f>
        <v>0</v>
      </c>
      <c r="AY671" s="487" t="s">
        <v>337</v>
      </c>
      <c r="AZ671" s="487">
        <f>+VLOOKUP($AJ671,Data_Validation!$A:$E,5,0)</f>
        <v>0</v>
      </c>
    </row>
    <row r="672" spans="1:52" ht="15" customHeight="1">
      <c r="A672" s="706" t="s">
        <v>1148</v>
      </c>
      <c r="B672" s="706">
        <v>2025</v>
      </c>
      <c r="C672" s="706" t="s">
        <v>2604</v>
      </c>
      <c r="D672" s="706" t="s">
        <v>2605</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905" t="str">
        <f t="shared" si="66"/>
        <v>G536</v>
      </c>
      <c r="AK672" s="905" t="str">
        <f t="shared" si="67"/>
        <v>FRAIS ADMINIST.      -C/T</v>
      </c>
      <c r="AL672" s="905">
        <f>IFERROR(INDEX(G672:R672,1,MATCH(Parametres!$B$3,G$1:R$1,0)-1)*IF(OR(F672="L",F672="S",F672="I"),-1,1),"")</f>
        <v>0</v>
      </c>
      <c r="AM672" s="905">
        <f t="shared" si="62"/>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63"/>
        <v>G536</v>
      </c>
      <c r="AU672" s="488" t="str">
        <f t="shared" si="64"/>
        <v>FRAIS ADMINIST.      -C/T</v>
      </c>
      <c r="AV672" s="899">
        <f>IFERROR(INDEX(V672:AG672,1,MATCH(Parametres!$B$3,V$1:AG$1,0)-1)*IF(OR(C672="L",C672="S",C672="I"),-1,1),"")</f>
        <v>0</v>
      </c>
      <c r="AW672" s="899">
        <f t="shared" si="65"/>
        <v>0</v>
      </c>
      <c r="AX672" s="899">
        <f>INDEX(V672:AG672,1,MATCH(Parametres!$B$3,V$1:AG$1,0))*IF(OR(C672="L",C672="S",C672="I"),-1,1)</f>
        <v>0</v>
      </c>
      <c r="AY672" s="487" t="s">
        <v>337</v>
      </c>
      <c r="AZ672" s="487" t="e">
        <f>+VLOOKUP($AJ672,Data_Validation!$A:$E,5,0)</f>
        <v>#N/A</v>
      </c>
    </row>
    <row r="673" spans="1:52" ht="15" customHeight="1">
      <c r="A673" s="706" t="s">
        <v>1148</v>
      </c>
      <c r="B673" s="706">
        <v>2025</v>
      </c>
      <c r="C673" s="706" t="s">
        <v>2606</v>
      </c>
      <c r="D673" s="706" t="s">
        <v>2607</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G541</v>
      </c>
      <c r="AK673" s="905" t="str">
        <f t="shared" si="67"/>
        <v>COMM.ENCAISSE/ASS LOC C&amp;L</v>
      </c>
      <c r="AL673" s="905">
        <f>IFERROR(INDEX(G673:R673,1,MATCH(Parametres!$B$3,G$1:R$1,0)-1)*IF(OR(F673="L",F673="S",F673="I"),-1,1),"")</f>
        <v>0</v>
      </c>
      <c r="AM673" s="905">
        <f t="shared" si="62"/>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G541</v>
      </c>
      <c r="AU673" s="488" t="str">
        <f t="shared" si="64"/>
        <v>COMM.ENCAISSE/ASS LOC C&amp;L</v>
      </c>
      <c r="AV673" s="899">
        <f>IFERROR(INDEX(V673:AG673,1,MATCH(Parametres!$B$3,V$1:AG$1,0)-1)*IF(OR(C673="L",C673="S",C673="I"),-1,1),"")</f>
        <v>0</v>
      </c>
      <c r="AW673" s="899">
        <f t="shared" si="65"/>
        <v>0</v>
      </c>
      <c r="AX673" s="899">
        <f>INDEX(V673:AG673,1,MATCH(Parametres!$B$3,V$1:AG$1,0))*IF(OR(C673="L",C673="S",C673="I"),-1,1)</f>
        <v>0</v>
      </c>
      <c r="AY673" s="487" t="s">
        <v>337</v>
      </c>
      <c r="AZ673" s="487" t="e">
        <f>+VLOOKUP($AJ673,Data_Validation!$A:$E,5,0)</f>
        <v>#N/A</v>
      </c>
    </row>
    <row r="674" spans="1:52" ht="15" customHeight="1">
      <c r="A674" s="706" t="s">
        <v>1148</v>
      </c>
      <c r="B674" s="706">
        <v>2025</v>
      </c>
      <c r="C674" s="706" t="s">
        <v>2608</v>
      </c>
      <c r="D674" s="706" t="s">
        <v>2609</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905" t="str">
        <f t="shared" si="66"/>
        <v>G541C</v>
      </c>
      <c r="AK674" s="905" t="str">
        <f t="shared" si="67"/>
        <v>*COMM.ENCAISSE/ASS.LOC</v>
      </c>
      <c r="AL674" s="905">
        <f>IFERROR(INDEX(G674:R674,1,MATCH(Parametres!$B$3,G$1:R$1,0)-1)*IF(OR(F674="L",F674="S",F674="I"),-1,1),"")</f>
        <v>0</v>
      </c>
      <c r="AM674" s="905">
        <f t="shared" si="62"/>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63"/>
        <v>G541C</v>
      </c>
      <c r="AU674" s="488" t="str">
        <f t="shared" si="64"/>
        <v>*COMM.ENCAISSE/ASS.LOC</v>
      </c>
      <c r="AV674" s="899">
        <f>IFERROR(INDEX(V674:AG674,1,MATCH(Parametres!$B$3,V$1:AG$1,0)-1)*IF(OR(C674="L",C674="S",C674="I"),-1,1),"")</f>
        <v>0</v>
      </c>
      <c r="AW674" s="899">
        <f t="shared" si="65"/>
        <v>0</v>
      </c>
      <c r="AX674" s="899">
        <f>INDEX(V674:AG674,1,MATCH(Parametres!$B$3,V$1:AG$1,0))*IF(OR(C674="L",C674="S",C674="I"),-1,1)</f>
        <v>0</v>
      </c>
      <c r="AY674" s="487" t="s">
        <v>337</v>
      </c>
      <c r="AZ674" s="487" t="e">
        <f>+VLOOKUP($AJ674,Data_Validation!$A:$E,5,0)</f>
        <v>#N/A</v>
      </c>
    </row>
    <row r="675" spans="1:52" ht="15" customHeight="1">
      <c r="A675" s="706" t="s">
        <v>1148</v>
      </c>
      <c r="B675" s="706">
        <v>2025</v>
      </c>
      <c r="C675" s="706" t="s">
        <v>2610</v>
      </c>
      <c r="D675" s="706" t="s">
        <v>2611</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905" t="str">
        <f t="shared" si="66"/>
        <v>G542</v>
      </c>
      <c r="AK675" s="905" t="str">
        <f t="shared" si="67"/>
        <v>ACCESSOIRES LOC C&amp;L TERME</v>
      </c>
      <c r="AL675" s="905">
        <f>IFERROR(INDEX(G675:R675,1,MATCH(Parametres!$B$3,G$1:R$1,0)-1)*IF(OR(F675="L",F675="S",F675="I"),-1,1),"")</f>
        <v>0</v>
      </c>
      <c r="AM675" s="905">
        <f t="shared" si="62"/>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63"/>
        <v>G542</v>
      </c>
      <c r="AU675" s="488" t="str">
        <f t="shared" si="64"/>
        <v>ACCESSOIRES LOC C&amp;L TERME</v>
      </c>
      <c r="AV675" s="899">
        <f>IFERROR(INDEX(V675:AG675,1,MATCH(Parametres!$B$3,V$1:AG$1,0)-1)*IF(OR(C675="L",C675="S",C675="I"),-1,1),"")</f>
        <v>0</v>
      </c>
      <c r="AW675" s="899">
        <f t="shared" si="65"/>
        <v>0</v>
      </c>
      <c r="AX675" s="899">
        <f>INDEX(V675:AG675,1,MATCH(Parametres!$B$3,V$1:AG$1,0))*IF(OR(C675="L",C675="S",C675="I"),-1,1)</f>
        <v>0</v>
      </c>
      <c r="AY675" s="487" t="s">
        <v>337</v>
      </c>
      <c r="AZ675" s="487" t="e">
        <f>+VLOOKUP($AJ675,Data_Validation!$A:$E,5,0)</f>
        <v>#N/A</v>
      </c>
    </row>
    <row r="676" spans="1:52" ht="15" customHeight="1">
      <c r="A676" s="706" t="s">
        <v>1148</v>
      </c>
      <c r="B676" s="706">
        <v>2025</v>
      </c>
      <c r="C676" s="706" t="s">
        <v>2612</v>
      </c>
      <c r="D676" s="706" t="s">
        <v>2611</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G542C</v>
      </c>
      <c r="AK676" s="905" t="str">
        <f t="shared" si="67"/>
        <v>ACCESSOIRES LOC C&amp;L TERME</v>
      </c>
      <c r="AL676" s="905">
        <f>IFERROR(INDEX(G676:R676,1,MATCH(Parametres!$B$3,G$1:R$1,0)-1)*IF(OR(F676="L",F676="S",F676="I"),-1,1),"")</f>
        <v>0</v>
      </c>
      <c r="AM676" s="905">
        <f t="shared" si="62"/>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63"/>
        <v>G542C</v>
      </c>
      <c r="AU676" s="488" t="str">
        <f t="shared" si="64"/>
        <v>ACCESSOIRES LOC C&amp;L TERME</v>
      </c>
      <c r="AV676" s="899">
        <f>IFERROR(INDEX(V676:AG676,1,MATCH(Parametres!$B$3,V$1:AG$1,0)-1)*IF(OR(C676="L",C676="S",C676="I"),-1,1),"")</f>
        <v>0</v>
      </c>
      <c r="AW676" s="899">
        <f t="shared" si="65"/>
        <v>0</v>
      </c>
      <c r="AX676" s="899">
        <f>INDEX(V676:AG676,1,MATCH(Parametres!$B$3,V$1:AG$1,0))*IF(OR(C676="L",C676="S",C676="I"),-1,1)</f>
        <v>0</v>
      </c>
      <c r="AY676" s="487" t="s">
        <v>337</v>
      </c>
      <c r="AZ676" s="487" t="e">
        <f>+VLOOKUP($AJ676,Data_Validation!$A:$E,5,0)</f>
        <v>#N/A</v>
      </c>
    </row>
    <row r="677" spans="1:52" ht="15" customHeight="1">
      <c r="A677" s="706" t="s">
        <v>1148</v>
      </c>
      <c r="B677" s="706">
        <v>2025</v>
      </c>
      <c r="C677" s="706" t="s">
        <v>2613</v>
      </c>
      <c r="D677" s="706" t="s">
        <v>2614</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905" t="str">
        <f t="shared" si="66"/>
        <v>G543</v>
      </c>
      <c r="AK677" s="905" t="str">
        <f t="shared" si="67"/>
        <v>PLAN PROT.GM LOC C&amp;L TERM</v>
      </c>
      <c r="AL677" s="905">
        <f>IFERROR(INDEX(G677:R677,1,MATCH(Parametres!$B$3,G$1:R$1,0)-1)*IF(OR(F677="L",F677="S",F677="I"),-1,1),"")</f>
        <v>0</v>
      </c>
      <c r="AM677" s="905">
        <f t="shared" si="62"/>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63"/>
        <v>G543</v>
      </c>
      <c r="AU677" s="488" t="str">
        <f t="shared" si="64"/>
        <v>PLAN PROT.GM LOC C&amp;L TERM</v>
      </c>
      <c r="AV677" s="899">
        <f>IFERROR(INDEX(V677:AG677,1,MATCH(Parametres!$B$3,V$1:AG$1,0)-1)*IF(OR(C677="L",C677="S",C677="I"),-1,1),"")</f>
        <v>0</v>
      </c>
      <c r="AW677" s="899">
        <f t="shared" si="65"/>
        <v>0</v>
      </c>
      <c r="AX677" s="899">
        <f>INDEX(V677:AG677,1,MATCH(Parametres!$B$3,V$1:AG$1,0))*IF(OR(C677="L",C677="S",C677="I"),-1,1)</f>
        <v>0</v>
      </c>
      <c r="AY677" s="487" t="s">
        <v>337</v>
      </c>
      <c r="AZ677" s="487" t="e">
        <f>+VLOOKUP($AJ677,Data_Validation!$A:$E,5,0)</f>
        <v>#N/A</v>
      </c>
    </row>
    <row r="678" spans="1:52" ht="15" customHeight="1">
      <c r="A678" s="706" t="s">
        <v>1148</v>
      </c>
      <c r="B678" s="706">
        <v>2025</v>
      </c>
      <c r="C678" s="706" t="s">
        <v>2615</v>
      </c>
      <c r="D678" s="706" t="s">
        <v>2614</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905" t="str">
        <f t="shared" si="66"/>
        <v>G543C</v>
      </c>
      <c r="AK678" s="905" t="str">
        <f t="shared" si="67"/>
        <v>PLAN PROT.GM LOC C&amp;L TERM</v>
      </c>
      <c r="AL678" s="905">
        <f>IFERROR(INDEX(G678:R678,1,MATCH(Parametres!$B$3,G$1:R$1,0)-1)*IF(OR(F678="L",F678="S",F678="I"),-1,1),"")</f>
        <v>0</v>
      </c>
      <c r="AM678" s="905">
        <f t="shared" si="62"/>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63"/>
        <v>G543C</v>
      </c>
      <c r="AU678" s="488" t="str">
        <f t="shared" si="64"/>
        <v>PLAN PROT.GM LOC C&amp;L TERM</v>
      </c>
      <c r="AV678" s="899">
        <f>IFERROR(INDEX(V678:AG678,1,MATCH(Parametres!$B$3,V$1:AG$1,0)-1)*IF(OR(C678="L",C678="S",C678="I"),-1,1),"")</f>
        <v>0</v>
      </c>
      <c r="AW678" s="899">
        <f t="shared" si="65"/>
        <v>0</v>
      </c>
      <c r="AX678" s="899">
        <f>INDEX(V678:AG678,1,MATCH(Parametres!$B$3,V$1:AG$1,0))*IF(OR(C678="L",C678="S",C678="I"),-1,1)</f>
        <v>0</v>
      </c>
      <c r="AY678" s="487" t="s">
        <v>337</v>
      </c>
      <c r="AZ678" s="487" t="e">
        <f>+VLOOKUP($AJ678,Data_Validation!$A:$E,5,0)</f>
        <v>#N/A</v>
      </c>
    </row>
    <row r="679" spans="1:52" ht="15" customHeight="1">
      <c r="A679" s="706" t="s">
        <v>1148</v>
      </c>
      <c r="B679" s="706">
        <v>2025</v>
      </c>
      <c r="C679" s="706" t="s">
        <v>2616</v>
      </c>
      <c r="D679" s="706" t="s">
        <v>2617</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905" t="str">
        <f t="shared" si="66"/>
        <v>G544</v>
      </c>
      <c r="AK679" s="905" t="str">
        <f t="shared" si="67"/>
        <v>AUTRES PLAN PROT. LOC C&amp;L</v>
      </c>
      <c r="AL679" s="905">
        <f>IFERROR(INDEX(G679:R679,1,MATCH(Parametres!$B$3,G$1:R$1,0)-1)*IF(OR(F679="L",F679="S",F679="I"),-1,1),"")</f>
        <v>0</v>
      </c>
      <c r="AM679" s="905">
        <f t="shared" si="62"/>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63"/>
        <v>G544</v>
      </c>
      <c r="AU679" s="488" t="str">
        <f t="shared" si="64"/>
        <v>AUTRES PLAN PROT. LOC C&amp;L</v>
      </c>
      <c r="AV679" s="899">
        <f>IFERROR(INDEX(V679:AG679,1,MATCH(Parametres!$B$3,V$1:AG$1,0)-1)*IF(OR(C679="L",C679="S",C679="I"),-1,1),"")</f>
        <v>0</v>
      </c>
      <c r="AW679" s="899">
        <f t="shared" si="65"/>
        <v>0</v>
      </c>
      <c r="AX679" s="899">
        <f>INDEX(V679:AG679,1,MATCH(Parametres!$B$3,V$1:AG$1,0))*IF(OR(C679="L",C679="S",C679="I"),-1,1)</f>
        <v>0</v>
      </c>
      <c r="AY679" s="487" t="s">
        <v>337</v>
      </c>
      <c r="AZ679" s="487" t="e">
        <f>+VLOOKUP($AJ679,Data_Validation!$A:$E,5,0)</f>
        <v>#N/A</v>
      </c>
    </row>
    <row r="680" spans="1:52" ht="15" customHeight="1">
      <c r="A680" s="706" t="s">
        <v>1148</v>
      </c>
      <c r="B680" s="706">
        <v>2025</v>
      </c>
      <c r="C680" s="706" t="s">
        <v>2618</v>
      </c>
      <c r="D680" s="706" t="s">
        <v>2619</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905" t="str">
        <f t="shared" si="66"/>
        <v>G544C</v>
      </c>
      <c r="AK680" s="905" t="str">
        <f t="shared" si="67"/>
        <v>AUTRES PLAN PROT.LOC C&amp;L</v>
      </c>
      <c r="AL680" s="905">
        <f>IFERROR(INDEX(G680:R680,1,MATCH(Parametres!$B$3,G$1:R$1,0)-1)*IF(OR(F680="L",F680="S",F680="I"),-1,1),"")</f>
        <v>0</v>
      </c>
      <c r="AM680" s="905">
        <f t="shared" si="62"/>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63"/>
        <v>G544C</v>
      </c>
      <c r="AU680" s="488" t="str">
        <f t="shared" si="64"/>
        <v>AUTRES PLAN PROT.LOC C&amp;L</v>
      </c>
      <c r="AV680" s="899">
        <f>IFERROR(INDEX(V680:AG680,1,MATCH(Parametres!$B$3,V$1:AG$1,0)-1)*IF(OR(C680="L",C680="S",C680="I"),-1,1),"")</f>
        <v>0</v>
      </c>
      <c r="AW680" s="899">
        <f t="shared" si="65"/>
        <v>0</v>
      </c>
      <c r="AX680" s="899">
        <f>INDEX(V680:AG680,1,MATCH(Parametres!$B$3,V$1:AG$1,0))*IF(OR(C680="L",C680="S",C680="I"),-1,1)</f>
        <v>0</v>
      </c>
      <c r="AY680" s="487" t="s">
        <v>337</v>
      </c>
      <c r="AZ680" s="487" t="e">
        <f>+VLOOKUP($AJ680,Data_Validation!$A:$E,5,0)</f>
        <v>#N/A</v>
      </c>
    </row>
    <row r="681" spans="1:52" ht="15" hidden="1" customHeight="1">
      <c r="A681" s="706" t="s">
        <v>1148</v>
      </c>
      <c r="B681" s="706">
        <v>2025</v>
      </c>
      <c r="C681" s="706" t="s">
        <v>2620</v>
      </c>
      <c r="D681" s="706" t="s">
        <v>2621</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905" t="str">
        <f t="shared" si="66"/>
        <v>G60000</v>
      </c>
      <c r="AK681" s="905" t="str">
        <f t="shared" si="67"/>
        <v>COUT- VOLT</v>
      </c>
      <c r="AL681" s="905">
        <f>IFERROR(INDEX(G681:R681,1,MATCH(Parametres!$B$3,G$1:R$1,0)-1)*IF(OR(F681="L",F681="S",F681="I"),-1,1),"")</f>
        <v>0</v>
      </c>
      <c r="AM681" s="905">
        <f t="shared" si="62"/>
        <v>0</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63"/>
        <v>G60000</v>
      </c>
      <c r="AU681" s="488" t="str">
        <f t="shared" si="64"/>
        <v>COUT- VOLT</v>
      </c>
      <c r="AV681" s="899">
        <f>IFERROR(INDEX(V681:AG681,1,MATCH(Parametres!$B$3,V$1:AG$1,0)-1)*IF(OR(C681="L",C681="S",C681="I"),-1,1),"")</f>
        <v>0</v>
      </c>
      <c r="AW681" s="899">
        <f t="shared" si="65"/>
        <v>0</v>
      </c>
      <c r="AX681" s="899">
        <f>INDEX(V681:AG681,1,MATCH(Parametres!$B$3,V$1:AG$1,0))*IF(OR(C681="L",C681="S",C681="I"),-1,1)</f>
        <v>0</v>
      </c>
      <c r="AY681" s="487" t="s">
        <v>337</v>
      </c>
      <c r="AZ681" s="487">
        <f>+VLOOKUP($AJ681,Data_Validation!$A:$E,5,0)</f>
        <v>0</v>
      </c>
    </row>
    <row r="682" spans="1:52" ht="15" hidden="1" customHeight="1">
      <c r="A682" s="706" t="s">
        <v>1148</v>
      </c>
      <c r="B682" s="706">
        <v>2025</v>
      </c>
      <c r="C682" s="706" t="s">
        <v>2622</v>
      </c>
      <c r="D682" s="706" t="s">
        <v>2623</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G60004</v>
      </c>
      <c r="AK682" s="905" t="str">
        <f t="shared" si="67"/>
        <v>COUTANT BUICK REGAL</v>
      </c>
      <c r="AL682" s="905">
        <f>IFERROR(INDEX(G682:R682,1,MATCH(Parametres!$B$3,G$1:R$1,0)-1)*IF(OR(F682="L",F682="S",F682="I"),-1,1),"")</f>
        <v>0</v>
      </c>
      <c r="AM682" s="905">
        <f t="shared" si="62"/>
        <v>0</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63"/>
        <v>G60004</v>
      </c>
      <c r="AU682" s="488" t="str">
        <f t="shared" si="64"/>
        <v>COUTANT BUICK REGAL</v>
      </c>
      <c r="AV682" s="899">
        <f>IFERROR(INDEX(V682:AG682,1,MATCH(Parametres!$B$3,V$1:AG$1,0)-1)*IF(OR(C682="L",C682="S",C682="I"),-1,1),"")</f>
        <v>0</v>
      </c>
      <c r="AW682" s="899">
        <f t="shared" si="65"/>
        <v>0</v>
      </c>
      <c r="AX682" s="899">
        <f>INDEX(V682:AG682,1,MATCH(Parametres!$B$3,V$1:AG$1,0))*IF(OR(C682="L",C682="S",C682="I"),-1,1)</f>
        <v>0</v>
      </c>
      <c r="AY682" s="487" t="s">
        <v>337</v>
      </c>
      <c r="AZ682" s="487">
        <f>+VLOOKUP($AJ682,Data_Validation!$A:$E,5,0)</f>
        <v>0</v>
      </c>
    </row>
    <row r="683" spans="1:52" ht="15" hidden="1" customHeight="1">
      <c r="A683" s="706" t="s">
        <v>1148</v>
      </c>
      <c r="B683" s="706">
        <v>2025</v>
      </c>
      <c r="C683" s="706" t="s">
        <v>2624</v>
      </c>
      <c r="D683" s="706" t="s">
        <v>2625</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G60100</v>
      </c>
      <c r="AK683" s="905" t="str">
        <f t="shared" si="67"/>
        <v>COUTANT MALIBU</v>
      </c>
      <c r="AL683" s="905">
        <f>IFERROR(INDEX(G683:R683,1,MATCH(Parametres!$B$3,G$1:R$1,0)-1)*IF(OR(F683="L",F683="S",F683="I"),-1,1),"")</f>
        <v>35093</v>
      </c>
      <c r="AM683" s="905">
        <f t="shared" si="62"/>
        <v>0</v>
      </c>
      <c r="AN683" s="905">
        <f>INDEX(G683:R683,1,MATCH(Parametres!$B$3,G$1:R$1,0))*IF(OR(F683="L",F683="S",F683="I"),-1,1)</f>
        <v>35093</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63"/>
        <v>G60100</v>
      </c>
      <c r="AU683" s="488" t="str">
        <f t="shared" si="64"/>
        <v>COUTANT MALIBU</v>
      </c>
      <c r="AV683" s="899">
        <f>IFERROR(INDEX(V683:AG683,1,MATCH(Parametres!$B$3,V$1:AG$1,0)-1)*IF(OR(C683="L",C683="S",C683="I"),-1,1),"")</f>
        <v>0</v>
      </c>
      <c r="AW683" s="899">
        <f t="shared" si="65"/>
        <v>0</v>
      </c>
      <c r="AX683" s="899">
        <f>INDEX(V683:AG683,1,MATCH(Parametres!$B$3,V$1:AG$1,0))*IF(OR(C683="L",C683="S",C683="I"),-1,1)</f>
        <v>0</v>
      </c>
      <c r="AY683" s="487" t="s">
        <v>337</v>
      </c>
      <c r="AZ683" s="487">
        <f>+VLOOKUP($AJ683,Data_Validation!$A:$E,5,0)</f>
        <v>0</v>
      </c>
    </row>
    <row r="684" spans="1:52" ht="15" hidden="1" customHeight="1">
      <c r="A684" s="706" t="s">
        <v>1148</v>
      </c>
      <c r="B684" s="706">
        <v>2025</v>
      </c>
      <c r="C684" s="706" t="s">
        <v>2626</v>
      </c>
      <c r="D684" s="706" t="s">
        <v>2627</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905" t="str">
        <f t="shared" si="66"/>
        <v>G60101</v>
      </c>
      <c r="AK684" s="905" t="str">
        <f t="shared" si="67"/>
        <v>COUTANT BUICK LACROSSE</v>
      </c>
      <c r="AL684" s="905">
        <f>IFERROR(INDEX(G684:R684,1,MATCH(Parametres!$B$3,G$1:R$1,0)-1)*IF(OR(F684="L",F684="S",F684="I"),-1,1),"")</f>
        <v>0</v>
      </c>
      <c r="AM684" s="905">
        <f t="shared" si="62"/>
        <v>0</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63"/>
        <v>G60101</v>
      </c>
      <c r="AU684" s="488" t="str">
        <f t="shared" si="64"/>
        <v>COUTANT BUICK LACROSSE</v>
      </c>
      <c r="AV684" s="899">
        <f>IFERROR(INDEX(V684:AG684,1,MATCH(Parametres!$B$3,V$1:AG$1,0)-1)*IF(OR(C684="L",C684="S",C684="I"),-1,1),"")</f>
        <v>0</v>
      </c>
      <c r="AW684" s="899">
        <f t="shared" si="65"/>
        <v>0</v>
      </c>
      <c r="AX684" s="899">
        <f>INDEX(V684:AG684,1,MATCH(Parametres!$B$3,V$1:AG$1,0))*IF(OR(C684="L",C684="S",C684="I"),-1,1)</f>
        <v>0</v>
      </c>
      <c r="AY684" s="487" t="s">
        <v>337</v>
      </c>
      <c r="AZ684" s="487">
        <f>+VLOOKUP($AJ684,Data_Validation!$A:$E,5,0)</f>
        <v>0</v>
      </c>
    </row>
    <row r="685" spans="1:52" ht="15" customHeight="1">
      <c r="A685" s="706" t="s">
        <v>1148</v>
      </c>
      <c r="B685" s="706">
        <v>2025</v>
      </c>
      <c r="C685" s="706" t="s">
        <v>2628</v>
      </c>
      <c r="D685" s="706" t="s">
        <v>2629</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G60120</v>
      </c>
      <c r="AK685" s="905" t="str">
        <f t="shared" si="67"/>
        <v>COUT-MALIBU          -LOC</v>
      </c>
      <c r="AL685" s="905">
        <f>IFERROR(INDEX(G685:R685,1,MATCH(Parametres!$B$3,G$1:R$1,0)-1)*IF(OR(F685="L",F685="S",F685="I"),-1,1),"")</f>
        <v>0</v>
      </c>
      <c r="AM685" s="905">
        <f t="shared" si="62"/>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63"/>
        <v>G60120</v>
      </c>
      <c r="AU685" s="488" t="str">
        <f t="shared" si="64"/>
        <v>COUT-MALIBU          -LOC</v>
      </c>
      <c r="AV685" s="899">
        <f>IFERROR(INDEX(V685:AG685,1,MATCH(Parametres!$B$3,V$1:AG$1,0)-1)*IF(OR(C685="L",C685="S",C685="I"),-1,1),"")</f>
        <v>0</v>
      </c>
      <c r="AW685" s="899">
        <f t="shared" si="65"/>
        <v>0</v>
      </c>
      <c r="AX685" s="899">
        <f>INDEX(V685:AG685,1,MATCH(Parametres!$B$3,V$1:AG$1,0))*IF(OR(C685="L",C685="S",C685="I"),-1,1)</f>
        <v>0</v>
      </c>
      <c r="AY685" s="487" t="s">
        <v>337</v>
      </c>
      <c r="AZ685" s="487" t="e">
        <f>+VLOOKUP($AJ685,Data_Validation!$A:$E,5,0)</f>
        <v>#N/A</v>
      </c>
    </row>
    <row r="686" spans="1:52" ht="15" customHeight="1">
      <c r="A686" s="706" t="s">
        <v>1148</v>
      </c>
      <c r="B686" s="706">
        <v>2025</v>
      </c>
      <c r="C686" s="706" t="s">
        <v>2630</v>
      </c>
      <c r="D686" s="706" t="s">
        <v>2631</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G602</v>
      </c>
      <c r="AK686" s="905" t="str">
        <f t="shared" si="67"/>
        <v>COUT - GMC CANYON</v>
      </c>
      <c r="AL686" s="905">
        <f>IFERROR(INDEX(G686:R686,1,MATCH(Parametres!$B$3,G$1:R$1,0)-1)*IF(OR(F686="L",F686="S",F686="I"),-1,1),"")</f>
        <v>0</v>
      </c>
      <c r="AM686" s="905">
        <f t="shared" si="62"/>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G602</v>
      </c>
      <c r="AU686" s="488" t="str">
        <f t="shared" si="64"/>
        <v>COUT - GMC CANYON</v>
      </c>
      <c r="AV686" s="899">
        <f>IFERROR(INDEX(V686:AG686,1,MATCH(Parametres!$B$3,V$1:AG$1,0)-1)*IF(OR(C686="L",C686="S",C686="I"),-1,1),"")</f>
        <v>0</v>
      </c>
      <c r="AW686" s="899">
        <f t="shared" si="65"/>
        <v>0</v>
      </c>
      <c r="AX686" s="899">
        <f>INDEX(V686:AG686,1,MATCH(Parametres!$B$3,V$1:AG$1,0))*IF(OR(C686="L",C686="S",C686="I"),-1,1)</f>
        <v>0</v>
      </c>
      <c r="AY686" s="487" t="s">
        <v>337</v>
      </c>
      <c r="AZ686" s="487" t="e">
        <f>+VLOOKUP($AJ686,Data_Validation!$A:$E,5,0)</f>
        <v>#N/A</v>
      </c>
    </row>
    <row r="687" spans="1:52" ht="15" customHeight="1">
      <c r="A687" s="706" t="s">
        <v>1148</v>
      </c>
      <c r="B687" s="706">
        <v>2025</v>
      </c>
      <c r="C687" s="706" t="s">
        <v>2632</v>
      </c>
      <c r="D687" s="706" t="s">
        <v>2633</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905" t="str">
        <f t="shared" si="66"/>
        <v>G60200</v>
      </c>
      <c r="AK687" s="905" t="str">
        <f t="shared" si="67"/>
        <v>COUT-MALIBU MAXX</v>
      </c>
      <c r="AL687" s="905">
        <f>IFERROR(INDEX(G687:R687,1,MATCH(Parametres!$B$3,G$1:R$1,0)-1)*IF(OR(F687="L",F687="S",F687="I"),-1,1),"")</f>
        <v>0</v>
      </c>
      <c r="AM687" s="905">
        <f t="shared" si="62"/>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63"/>
        <v>G60200</v>
      </c>
      <c r="AU687" s="488" t="str">
        <f t="shared" si="64"/>
        <v>COUT-MALIBU MAXX</v>
      </c>
      <c r="AV687" s="899">
        <f>IFERROR(INDEX(V687:AG687,1,MATCH(Parametres!$B$3,V$1:AG$1,0)-1)*IF(OR(C687="L",C687="S",C687="I"),-1,1),"")</f>
        <v>0</v>
      </c>
      <c r="AW687" s="899">
        <f t="shared" si="65"/>
        <v>0</v>
      </c>
      <c r="AX687" s="899">
        <f>INDEX(V687:AG687,1,MATCH(Parametres!$B$3,V$1:AG$1,0))*IF(OR(C687="L",C687="S",C687="I"),-1,1)</f>
        <v>0</v>
      </c>
      <c r="AY687" s="487" t="s">
        <v>337</v>
      </c>
      <c r="AZ687" s="487" t="e">
        <f>+VLOOKUP($AJ687,Data_Validation!$A:$E,5,0)</f>
        <v>#N/A</v>
      </c>
    </row>
    <row r="688" spans="1:52" ht="15" customHeight="1">
      <c r="A688" s="706" t="s">
        <v>1148</v>
      </c>
      <c r="B688" s="706">
        <v>2025</v>
      </c>
      <c r="C688" s="706" t="s">
        <v>2634</v>
      </c>
      <c r="D688" s="706" t="s">
        <v>2635</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G60201</v>
      </c>
      <c r="AK688" s="905" t="str">
        <f t="shared" si="67"/>
        <v>COUT - SONIC</v>
      </c>
      <c r="AL688" s="905">
        <f>IFERROR(INDEX(G688:R688,1,MATCH(Parametres!$B$3,G$1:R$1,0)-1)*IF(OR(F688="L",F688="S",F688="I"),-1,1),"")</f>
        <v>0</v>
      </c>
      <c r="AM688" s="905">
        <f t="shared" si="62"/>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63"/>
        <v>G60201</v>
      </c>
      <c r="AU688" s="488" t="str">
        <f t="shared" si="64"/>
        <v>COUT - SONIC</v>
      </c>
      <c r="AV688" s="899">
        <f>IFERROR(INDEX(V688:AG688,1,MATCH(Parametres!$B$3,V$1:AG$1,0)-1)*IF(OR(C688="L",C688="S",C688="I"),-1,1),"")</f>
        <v>0</v>
      </c>
      <c r="AW688" s="899">
        <f t="shared" si="65"/>
        <v>0</v>
      </c>
      <c r="AX688" s="899">
        <f>INDEX(V688:AG688,1,MATCH(Parametres!$B$3,V$1:AG$1,0))*IF(OR(C688="L",C688="S",C688="I"),-1,1)</f>
        <v>0</v>
      </c>
      <c r="AY688" s="487" t="s">
        <v>337</v>
      </c>
      <c r="AZ688" s="487" t="e">
        <f>+VLOOKUP($AJ688,Data_Validation!$A:$E,5,0)</f>
        <v>#N/A</v>
      </c>
    </row>
    <row r="689" spans="1:52" ht="15" hidden="1" customHeight="1">
      <c r="A689" s="706" t="s">
        <v>1148</v>
      </c>
      <c r="B689" s="706">
        <v>2025</v>
      </c>
      <c r="C689" s="706" t="s">
        <v>2636</v>
      </c>
      <c r="D689" s="706" t="s">
        <v>2637</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G60204</v>
      </c>
      <c r="AK689" s="905" t="str">
        <f t="shared" si="67"/>
        <v>COUTANT-VERANO</v>
      </c>
      <c r="AL689" s="905">
        <f>IFERROR(INDEX(G689:R689,1,MATCH(Parametres!$B$3,G$1:R$1,0)-1)*IF(OR(F689="L",F689="S",F689="I"),-1,1),"")</f>
        <v>0</v>
      </c>
      <c r="AM689" s="905">
        <f t="shared" si="62"/>
        <v>0</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63"/>
        <v>G60204</v>
      </c>
      <c r="AU689" s="488" t="str">
        <f t="shared" si="64"/>
        <v>COUTANT-VERANO</v>
      </c>
      <c r="AV689" s="899">
        <f>IFERROR(INDEX(V689:AG689,1,MATCH(Parametres!$B$3,V$1:AG$1,0)-1)*IF(OR(C689="L",C689="S",C689="I"),-1,1),"")</f>
        <v>0</v>
      </c>
      <c r="AW689" s="899">
        <f t="shared" si="65"/>
        <v>0</v>
      </c>
      <c r="AX689" s="899">
        <f>INDEX(V689:AG689,1,MATCH(Parametres!$B$3,V$1:AG$1,0))*IF(OR(C689="L",C689="S",C689="I"),-1,1)</f>
        <v>0</v>
      </c>
      <c r="AY689" s="487" t="s">
        <v>337</v>
      </c>
      <c r="AZ689" s="487">
        <f>+VLOOKUP($AJ689,Data_Validation!$A:$E,5,0)</f>
        <v>0</v>
      </c>
    </row>
    <row r="690" spans="1:52" ht="15" hidden="1" customHeight="1">
      <c r="A690" s="706" t="s">
        <v>1148</v>
      </c>
      <c r="B690" s="706">
        <v>2025</v>
      </c>
      <c r="C690" s="706" t="s">
        <v>2638</v>
      </c>
      <c r="D690" s="706" t="s">
        <v>2639</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G60300</v>
      </c>
      <c r="AK690" s="905" t="str">
        <f t="shared" si="67"/>
        <v>COUT-IMPALA</v>
      </c>
      <c r="AL690" s="905">
        <f>IFERROR(INDEX(G690:R690,1,MATCH(Parametres!$B$3,G$1:R$1,0)-1)*IF(OR(F690="L",F690="S",F690="I"),-1,1),"")</f>
        <v>0</v>
      </c>
      <c r="AM690" s="905">
        <f t="shared" si="62"/>
        <v>0</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63"/>
        <v>G60300</v>
      </c>
      <c r="AU690" s="488" t="str">
        <f t="shared" si="64"/>
        <v>COUT-IMPALA</v>
      </c>
      <c r="AV690" s="899">
        <f>IFERROR(INDEX(V690:AG690,1,MATCH(Parametres!$B$3,V$1:AG$1,0)-1)*IF(OR(C690="L",C690="S",C690="I"),-1,1),"")</f>
        <v>0</v>
      </c>
      <c r="AW690" s="899">
        <f t="shared" si="65"/>
        <v>0</v>
      </c>
      <c r="AX690" s="899">
        <f>INDEX(V690:AG690,1,MATCH(Parametres!$B$3,V$1:AG$1,0))*IF(OR(C690="L",C690="S",C690="I"),-1,1)</f>
        <v>0</v>
      </c>
      <c r="AY690" s="487" t="s">
        <v>337</v>
      </c>
      <c r="AZ690" s="487">
        <f>+VLOOKUP($AJ690,Data_Validation!$A:$E,5,0)</f>
        <v>0</v>
      </c>
    </row>
    <row r="691" spans="1:52" ht="15" customHeight="1">
      <c r="A691" s="706" t="s">
        <v>1148</v>
      </c>
      <c r="B691" s="706">
        <v>2025</v>
      </c>
      <c r="C691" s="706" t="s">
        <v>2640</v>
      </c>
      <c r="D691" s="706" t="s">
        <v>2641</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G60320</v>
      </c>
      <c r="AK691" s="905" t="str">
        <f t="shared" si="67"/>
        <v>COUT-IMPALA          -LOC</v>
      </c>
      <c r="AL691" s="905">
        <f>IFERROR(INDEX(G691:R691,1,MATCH(Parametres!$B$3,G$1:R$1,0)-1)*IF(OR(F691="L",F691="S",F691="I"),-1,1),"")</f>
        <v>0</v>
      </c>
      <c r="AM691" s="905">
        <f t="shared" si="62"/>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63"/>
        <v>G60320</v>
      </c>
      <c r="AU691" s="488" t="str">
        <f t="shared" si="64"/>
        <v>COUT-IMPALA          -LOC</v>
      </c>
      <c r="AV691" s="899">
        <f>IFERROR(INDEX(V691:AG691,1,MATCH(Parametres!$B$3,V$1:AG$1,0)-1)*IF(OR(C691="L",C691="S",C691="I"),-1,1),"")</f>
        <v>0</v>
      </c>
      <c r="AW691" s="899">
        <f t="shared" si="65"/>
        <v>0</v>
      </c>
      <c r="AX691" s="899">
        <f>INDEX(V691:AG691,1,MATCH(Parametres!$B$3,V$1:AG$1,0))*IF(OR(C691="L",C691="S",C691="I"),-1,1)</f>
        <v>0</v>
      </c>
      <c r="AY691" s="487" t="s">
        <v>337</v>
      </c>
      <c r="AZ691" s="487" t="e">
        <f>+VLOOKUP($AJ691,Data_Validation!$A:$E,5,0)</f>
        <v>#N/A</v>
      </c>
    </row>
    <row r="692" spans="1:52" ht="15" hidden="1" customHeight="1">
      <c r="A692" s="706" t="s">
        <v>1148</v>
      </c>
      <c r="B692" s="706">
        <v>2025</v>
      </c>
      <c r="C692" s="706" t="s">
        <v>2642</v>
      </c>
      <c r="D692" s="706" t="s">
        <v>2643</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G60400</v>
      </c>
      <c r="AK692" s="905" t="str">
        <f t="shared" si="67"/>
        <v>COUT- SPARK</v>
      </c>
      <c r="AL692" s="905">
        <f>IFERROR(INDEX(G692:R692,1,MATCH(Parametres!$B$3,G$1:R$1,0)-1)*IF(OR(F692="L",F692="S",F692="I"),-1,1),"")</f>
        <v>0</v>
      </c>
      <c r="AM692" s="905">
        <f t="shared" si="62"/>
        <v>0</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63"/>
        <v>G60400</v>
      </c>
      <c r="AU692" s="488" t="str">
        <f t="shared" si="64"/>
        <v>COUT- SPARK</v>
      </c>
      <c r="AV692" s="899">
        <f>IFERROR(INDEX(V692:AG692,1,MATCH(Parametres!$B$3,V$1:AG$1,0)-1)*IF(OR(C692="L",C692="S",C692="I"),-1,1),"")</f>
        <v>0</v>
      </c>
      <c r="AW692" s="899">
        <f t="shared" si="65"/>
        <v>0</v>
      </c>
      <c r="AX692" s="899">
        <f>INDEX(V692:AG692,1,MATCH(Parametres!$B$3,V$1:AG$1,0))*IF(OR(C692="L",C692="S",C692="I"),-1,1)</f>
        <v>0</v>
      </c>
      <c r="AY692" s="487" t="s">
        <v>337</v>
      </c>
      <c r="AZ692" s="487">
        <f>+VLOOKUP($AJ692,Data_Validation!$A:$E,5,0)</f>
        <v>0</v>
      </c>
    </row>
    <row r="693" spans="1:52" ht="15" hidden="1" customHeight="1">
      <c r="A693" s="706" t="s">
        <v>1148</v>
      </c>
      <c r="B693" s="706">
        <v>2025</v>
      </c>
      <c r="C693" s="706" t="s">
        <v>2644</v>
      </c>
      <c r="D693" s="706" t="s">
        <v>2645</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905" t="str">
        <f t="shared" si="66"/>
        <v>G60500</v>
      </c>
      <c r="AK693" s="905" t="str">
        <f t="shared" si="67"/>
        <v>COUT-CORVETTE</v>
      </c>
      <c r="AL693" s="905">
        <f>IFERROR(INDEX(G693:R693,1,MATCH(Parametres!$B$3,G$1:R$1,0)-1)*IF(OR(F693="L",F693="S",F693="I"),-1,1),"")</f>
        <v>617633.35</v>
      </c>
      <c r="AM693" s="905">
        <f t="shared" si="62"/>
        <v>264362.21000000008</v>
      </c>
      <c r="AN693" s="905">
        <f>INDEX(G693:R693,1,MATCH(Parametres!$B$3,G$1:R$1,0))*IF(OR(F693="L",F693="S",F693="I"),-1,1)</f>
        <v>881995.56</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63"/>
        <v>G60500</v>
      </c>
      <c r="AU693" s="488" t="str">
        <f t="shared" si="64"/>
        <v>COUT-CORVETTE</v>
      </c>
      <c r="AV693" s="899">
        <f>IFERROR(INDEX(V693:AG693,1,MATCH(Parametres!$B$3,V$1:AG$1,0)-1)*IF(OR(C693="L",C693="S",C693="I"),-1,1),"")</f>
        <v>0</v>
      </c>
      <c r="AW693" s="899">
        <f t="shared" si="65"/>
        <v>0</v>
      </c>
      <c r="AX693" s="899">
        <f>INDEX(V693:AG693,1,MATCH(Parametres!$B$3,V$1:AG$1,0))*IF(OR(C693="L",C693="S",C693="I"),-1,1)</f>
        <v>0</v>
      </c>
      <c r="AY693" s="487" t="s">
        <v>337</v>
      </c>
      <c r="AZ693" s="487">
        <f>+VLOOKUP($AJ693,Data_Validation!$A:$E,5,0)</f>
        <v>0</v>
      </c>
    </row>
    <row r="694" spans="1:52" ht="15" customHeight="1">
      <c r="A694" s="706" t="s">
        <v>1148</v>
      </c>
      <c r="B694" s="706">
        <v>2025</v>
      </c>
      <c r="C694" s="706" t="s">
        <v>2646</v>
      </c>
      <c r="D694" s="706" t="s">
        <v>2647</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905" t="str">
        <f t="shared" si="66"/>
        <v>G60600</v>
      </c>
      <c r="AK694" s="905" t="str">
        <f t="shared" si="67"/>
        <v>COUT-AVEO</v>
      </c>
      <c r="AL694" s="905">
        <f>IFERROR(INDEX(G694:R694,1,MATCH(Parametres!$B$3,G$1:R$1,0)-1)*IF(OR(F694="L",F694="S",F694="I"),-1,1),"")</f>
        <v>0</v>
      </c>
      <c r="AM694" s="905">
        <f t="shared" si="62"/>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63"/>
        <v>G60600</v>
      </c>
      <c r="AU694" s="488" t="str">
        <f t="shared" si="64"/>
        <v>COUT-AVEO</v>
      </c>
      <c r="AV694" s="899">
        <f>IFERROR(INDEX(V694:AG694,1,MATCH(Parametres!$B$3,V$1:AG$1,0)-1)*IF(OR(C694="L",C694="S",C694="I"),-1,1),"")</f>
        <v>0</v>
      </c>
      <c r="AW694" s="899">
        <f t="shared" si="65"/>
        <v>0</v>
      </c>
      <c r="AX694" s="899">
        <f>INDEX(V694:AG694,1,MATCH(Parametres!$B$3,V$1:AG$1,0))*IF(OR(C694="L",C694="S",C694="I"),-1,1)</f>
        <v>0</v>
      </c>
      <c r="AY694" s="487" t="s">
        <v>337</v>
      </c>
      <c r="AZ694" s="487" t="e">
        <f>+VLOOKUP($AJ694,Data_Validation!$A:$E,5,0)</f>
        <v>#N/A</v>
      </c>
    </row>
    <row r="695" spans="1:52" ht="15" customHeight="1">
      <c r="A695" s="706" t="s">
        <v>1148</v>
      </c>
      <c r="B695" s="706">
        <v>2025</v>
      </c>
      <c r="C695" s="706" t="s">
        <v>2648</v>
      </c>
      <c r="D695" s="706" t="s">
        <v>2649</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905" t="str">
        <f t="shared" si="66"/>
        <v>G60620</v>
      </c>
      <c r="AK695" s="905" t="str">
        <f t="shared" si="67"/>
        <v>COUT-AVEO            -LOC</v>
      </c>
      <c r="AL695" s="905">
        <f>IFERROR(INDEX(G695:R695,1,MATCH(Parametres!$B$3,G$1:R$1,0)-1)*IF(OR(F695="L",F695="S",F695="I"),-1,1),"")</f>
        <v>0</v>
      </c>
      <c r="AM695" s="905">
        <f t="shared" si="62"/>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63"/>
        <v>G60620</v>
      </c>
      <c r="AU695" s="488" t="str">
        <f t="shared" si="64"/>
        <v>COUT-AVEO            -LOC</v>
      </c>
      <c r="AV695" s="899">
        <f>IFERROR(INDEX(V695:AG695,1,MATCH(Parametres!$B$3,V$1:AG$1,0)-1)*IF(OR(C695="L",C695="S",C695="I"),-1,1),"")</f>
        <v>0</v>
      </c>
      <c r="AW695" s="899">
        <f t="shared" si="65"/>
        <v>0</v>
      </c>
      <c r="AX695" s="899">
        <f>INDEX(V695:AG695,1,MATCH(Parametres!$B$3,V$1:AG$1,0))*IF(OR(C695="L",C695="S",C695="I"),-1,1)</f>
        <v>0</v>
      </c>
      <c r="AY695" s="487" t="s">
        <v>337</v>
      </c>
      <c r="AZ695" s="487" t="e">
        <f>+VLOOKUP($AJ695,Data_Validation!$A:$E,5,0)</f>
        <v>#N/A</v>
      </c>
    </row>
    <row r="696" spans="1:52" ht="15" hidden="1" customHeight="1">
      <c r="A696" s="706" t="s">
        <v>1148</v>
      </c>
      <c r="B696" s="706">
        <v>2025</v>
      </c>
      <c r="C696" s="706" t="s">
        <v>2650</v>
      </c>
      <c r="D696" s="706" t="s">
        <v>2651</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905" t="str">
        <f t="shared" si="66"/>
        <v>G60700</v>
      </c>
      <c r="AK696" s="905" t="str">
        <f t="shared" si="67"/>
        <v>COUT BOLT - EV</v>
      </c>
      <c r="AL696" s="905">
        <f>IFERROR(INDEX(G696:R696,1,MATCH(Parametres!$B$3,G$1:R$1,0)-1)*IF(OR(F696="L",F696="S",F696="I"),-1,1),"")</f>
        <v>0</v>
      </c>
      <c r="AM696" s="905">
        <f t="shared" si="62"/>
        <v>0</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63"/>
        <v>G60700</v>
      </c>
      <c r="AU696" s="488" t="str">
        <f t="shared" si="64"/>
        <v>COUT BOLT - EV</v>
      </c>
      <c r="AV696" s="899">
        <f>IFERROR(INDEX(V696:AG696,1,MATCH(Parametres!$B$3,V$1:AG$1,0)-1)*IF(OR(C696="L",C696="S",C696="I"),-1,1),"")</f>
        <v>0</v>
      </c>
      <c r="AW696" s="899">
        <f t="shared" si="65"/>
        <v>0</v>
      </c>
      <c r="AX696" s="899">
        <f>INDEX(V696:AG696,1,MATCH(Parametres!$B$3,V$1:AG$1,0))*IF(OR(C696="L",C696="S",C696="I"),-1,1)</f>
        <v>0</v>
      </c>
      <c r="AY696" s="487" t="s">
        <v>337</v>
      </c>
      <c r="AZ696" s="487">
        <f>+VLOOKUP($AJ696,Data_Validation!$A:$E,5,0)</f>
        <v>0</v>
      </c>
    </row>
    <row r="697" spans="1:52" ht="15" customHeight="1">
      <c r="A697" s="706" t="s">
        <v>1148</v>
      </c>
      <c r="B697" s="706">
        <v>2025</v>
      </c>
      <c r="C697" s="706" t="s">
        <v>2652</v>
      </c>
      <c r="D697" s="706" t="s">
        <v>2653</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905" t="str">
        <f t="shared" si="66"/>
        <v>G60720</v>
      </c>
      <c r="AK697" s="905" t="str">
        <f t="shared" si="67"/>
        <v>COUT-OPTRA           -LOC</v>
      </c>
      <c r="AL697" s="905">
        <f>IFERROR(INDEX(G697:R697,1,MATCH(Parametres!$B$3,G$1:R$1,0)-1)*IF(OR(F697="L",F697="S",F697="I"),-1,1),"")</f>
        <v>0</v>
      </c>
      <c r="AM697" s="905">
        <f t="shared" si="62"/>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63"/>
        <v>G60720</v>
      </c>
      <c r="AU697" s="488" t="str">
        <f t="shared" si="64"/>
        <v>COUT-OPTRA           -LOC</v>
      </c>
      <c r="AV697" s="899">
        <f>IFERROR(INDEX(V697:AG697,1,MATCH(Parametres!$B$3,V$1:AG$1,0)-1)*IF(OR(C697="L",C697="S",C697="I"),-1,1),"")</f>
        <v>0</v>
      </c>
      <c r="AW697" s="899">
        <f t="shared" si="65"/>
        <v>0</v>
      </c>
      <c r="AX697" s="899">
        <f>INDEX(V697:AG697,1,MATCH(Parametres!$B$3,V$1:AG$1,0))*IF(OR(C697="L",C697="S",C697="I"),-1,1)</f>
        <v>0</v>
      </c>
      <c r="AY697" s="487" t="s">
        <v>337</v>
      </c>
      <c r="AZ697" s="487" t="e">
        <f>+VLOOKUP($AJ697,Data_Validation!$A:$E,5,0)</f>
        <v>#N/A</v>
      </c>
    </row>
    <row r="698" spans="1:52" ht="15" customHeight="1">
      <c r="A698" s="706" t="s">
        <v>1148</v>
      </c>
      <c r="B698" s="706">
        <v>2025</v>
      </c>
      <c r="C698" s="706" t="s">
        <v>2654</v>
      </c>
      <c r="D698" s="706" t="s">
        <v>2655</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905" t="str">
        <f t="shared" si="66"/>
        <v>G60800</v>
      </c>
      <c r="AK698" s="905" t="str">
        <f t="shared" si="67"/>
        <v>COUT-EPICA</v>
      </c>
      <c r="AL698" s="905">
        <f>IFERROR(INDEX(G698:R698,1,MATCH(Parametres!$B$3,G$1:R$1,0)-1)*IF(OR(F698="L",F698="S",F698="I"),-1,1),"")</f>
        <v>0</v>
      </c>
      <c r="AM698" s="905">
        <f t="shared" si="62"/>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63"/>
        <v>G60800</v>
      </c>
      <c r="AU698" s="488" t="str">
        <f t="shared" si="64"/>
        <v>COUT-EPICA</v>
      </c>
      <c r="AV698" s="899">
        <f>IFERROR(INDEX(V698:AG698,1,MATCH(Parametres!$B$3,V$1:AG$1,0)-1)*IF(OR(C698="L",C698="S",C698="I"),-1,1),"")</f>
        <v>0</v>
      </c>
      <c r="AW698" s="899">
        <f t="shared" si="65"/>
        <v>0</v>
      </c>
      <c r="AX698" s="899">
        <f>INDEX(V698:AG698,1,MATCH(Parametres!$B$3,V$1:AG$1,0))*IF(OR(C698="L",C698="S",C698="I"),-1,1)</f>
        <v>0</v>
      </c>
      <c r="AY698" s="487" t="s">
        <v>337</v>
      </c>
      <c r="AZ698" s="487" t="e">
        <f>+VLOOKUP($AJ698,Data_Validation!$A:$E,5,0)</f>
        <v>#N/A</v>
      </c>
    </row>
    <row r="699" spans="1:52" ht="15" customHeight="1">
      <c r="A699" s="706" t="s">
        <v>1148</v>
      </c>
      <c r="B699" s="706">
        <v>2025</v>
      </c>
      <c r="C699" s="706" t="s">
        <v>2656</v>
      </c>
      <c r="D699" s="706" t="s">
        <v>2657</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905" t="str">
        <f t="shared" si="66"/>
        <v>G60820</v>
      </c>
      <c r="AK699" s="905" t="str">
        <f t="shared" si="67"/>
        <v>COUT-EPICA           -LOC</v>
      </c>
      <c r="AL699" s="905">
        <f>IFERROR(INDEX(G699:R699,1,MATCH(Parametres!$B$3,G$1:R$1,0)-1)*IF(OR(F699="L",F699="S",F699="I"),-1,1),"")</f>
        <v>0</v>
      </c>
      <c r="AM699" s="905">
        <f t="shared" si="62"/>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63"/>
        <v>G60820</v>
      </c>
      <c r="AU699" s="488" t="str">
        <f t="shared" si="64"/>
        <v>COUT-EPICA           -LOC</v>
      </c>
      <c r="AV699" s="899">
        <f>IFERROR(INDEX(V699:AG699,1,MATCH(Parametres!$B$3,V$1:AG$1,0)-1)*IF(OR(C699="L",C699="S",C699="I"),-1,1),"")</f>
        <v>0</v>
      </c>
      <c r="AW699" s="899">
        <f t="shared" si="65"/>
        <v>0</v>
      </c>
      <c r="AX699" s="899">
        <f>INDEX(V699:AG699,1,MATCH(Parametres!$B$3,V$1:AG$1,0))*IF(OR(C699="L",C699="S",C699="I"),-1,1)</f>
        <v>0</v>
      </c>
      <c r="AY699" s="487" t="s">
        <v>337</v>
      </c>
      <c r="AZ699" s="487" t="e">
        <f>+VLOOKUP($AJ699,Data_Validation!$A:$E,5,0)</f>
        <v>#N/A</v>
      </c>
    </row>
    <row r="700" spans="1:52" ht="15" hidden="1" customHeight="1">
      <c r="A700" s="706" t="s">
        <v>1148</v>
      </c>
      <c r="B700" s="706">
        <v>2025</v>
      </c>
      <c r="C700" s="706" t="s">
        <v>2658</v>
      </c>
      <c r="D700" s="706" t="s">
        <v>2659</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905" t="str">
        <f t="shared" si="66"/>
        <v>G60900</v>
      </c>
      <c r="AK700" s="905" t="str">
        <f t="shared" si="67"/>
        <v>COUT-COBALT</v>
      </c>
      <c r="AL700" s="905">
        <f>IFERROR(INDEX(G700:R700,1,MATCH(Parametres!$B$3,G$1:R$1,0)-1)*IF(OR(F700="L",F700="S",F700="I"),-1,1),"")</f>
        <v>0</v>
      </c>
      <c r="AM700" s="905">
        <f t="shared" si="62"/>
        <v>0</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63"/>
        <v>G60900</v>
      </c>
      <c r="AU700" s="488" t="str">
        <f t="shared" si="64"/>
        <v>COUT-COBALT</v>
      </c>
      <c r="AV700" s="899">
        <f>IFERROR(INDEX(V700:AG700,1,MATCH(Parametres!$B$3,V$1:AG$1,0)-1)*IF(OR(C700="L",C700="S",C700="I"),-1,1),"")</f>
        <v>0</v>
      </c>
      <c r="AW700" s="899">
        <f t="shared" si="65"/>
        <v>0</v>
      </c>
      <c r="AX700" s="899">
        <f>INDEX(V700:AG700,1,MATCH(Parametres!$B$3,V$1:AG$1,0))*IF(OR(C700="L",C700="S",C700="I"),-1,1)</f>
        <v>0</v>
      </c>
      <c r="AY700" s="487" t="s">
        <v>337</v>
      </c>
      <c r="AZ700" s="487">
        <f>+VLOOKUP($AJ700,Data_Validation!$A:$E,5,0)</f>
        <v>0</v>
      </c>
    </row>
    <row r="701" spans="1:52" ht="15" customHeight="1">
      <c r="A701" s="706" t="s">
        <v>1148</v>
      </c>
      <c r="B701" s="706">
        <v>2025</v>
      </c>
      <c r="C701" s="706" t="s">
        <v>2660</v>
      </c>
      <c r="D701" s="706" t="s">
        <v>2661</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905" t="str">
        <f t="shared" si="66"/>
        <v>G60920</v>
      </c>
      <c r="AK701" s="905" t="str">
        <f t="shared" si="67"/>
        <v>COUT-COBALT          -LOC</v>
      </c>
      <c r="AL701" s="905">
        <f>IFERROR(INDEX(G701:R701,1,MATCH(Parametres!$B$3,G$1:R$1,0)-1)*IF(OR(F701="L",F701="S",F701="I"),-1,1),"")</f>
        <v>0</v>
      </c>
      <c r="AM701" s="905">
        <f t="shared" si="62"/>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63"/>
        <v>G60920</v>
      </c>
      <c r="AU701" s="488" t="str">
        <f t="shared" si="64"/>
        <v>COUT-COBALT          -LOC</v>
      </c>
      <c r="AV701" s="899">
        <f>IFERROR(INDEX(V701:AG701,1,MATCH(Parametres!$B$3,V$1:AG$1,0)-1)*IF(OR(C701="L",C701="S",C701="I"),-1,1),"")</f>
        <v>0</v>
      </c>
      <c r="AW701" s="899">
        <f t="shared" si="65"/>
        <v>0</v>
      </c>
      <c r="AX701" s="899">
        <f>INDEX(V701:AG701,1,MATCH(Parametres!$B$3,V$1:AG$1,0))*IF(OR(C701="L",C701="S",C701="I"),-1,1)</f>
        <v>0</v>
      </c>
      <c r="AY701" s="487" t="s">
        <v>337</v>
      </c>
      <c r="AZ701" s="487" t="e">
        <f>+VLOOKUP($AJ701,Data_Validation!$A:$E,5,0)</f>
        <v>#N/A</v>
      </c>
    </row>
    <row r="702" spans="1:52" ht="15" hidden="1" customHeight="1">
      <c r="A702" s="706" t="s">
        <v>1148</v>
      </c>
      <c r="B702" s="706">
        <v>2025</v>
      </c>
      <c r="C702" s="706" t="s">
        <v>2662</v>
      </c>
      <c r="D702" s="706" t="s">
        <v>2663</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905" t="str">
        <f t="shared" si="66"/>
        <v>G61000</v>
      </c>
      <c r="AK702" s="905" t="str">
        <f t="shared" si="67"/>
        <v>COUT - CAMARO</v>
      </c>
      <c r="AL702" s="905">
        <f>IFERROR(INDEX(G702:R702,1,MATCH(Parametres!$B$3,G$1:R$1,0)-1)*IF(OR(F702="L",F702="S",F702="I"),-1,1),"")</f>
        <v>0</v>
      </c>
      <c r="AM702" s="905">
        <f t="shared" si="62"/>
        <v>0</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63"/>
        <v>G61000</v>
      </c>
      <c r="AU702" s="488" t="str">
        <f t="shared" si="64"/>
        <v>COUT - CAMARO</v>
      </c>
      <c r="AV702" s="899">
        <f>IFERROR(INDEX(V702:AG702,1,MATCH(Parametres!$B$3,V$1:AG$1,0)-1)*IF(OR(C702="L",C702="S",C702="I"),-1,1),"")</f>
        <v>0</v>
      </c>
      <c r="AW702" s="899">
        <f t="shared" si="65"/>
        <v>0</v>
      </c>
      <c r="AX702" s="899">
        <f>INDEX(V702:AG702,1,MATCH(Parametres!$B$3,V$1:AG$1,0))*IF(OR(C702="L",C702="S",C702="I"),-1,1)</f>
        <v>0</v>
      </c>
      <c r="AY702" s="487" t="s">
        <v>337</v>
      </c>
      <c r="AZ702" s="487">
        <f>+VLOOKUP($AJ702,Data_Validation!$A:$E,5,0)</f>
        <v>0</v>
      </c>
    </row>
    <row r="703" spans="1:52" ht="15" hidden="1" customHeight="1">
      <c r="A703" s="706" t="s">
        <v>1148</v>
      </c>
      <c r="B703" s="706">
        <v>2025</v>
      </c>
      <c r="C703" s="706" t="s">
        <v>2664</v>
      </c>
      <c r="D703" s="706" t="s">
        <v>2665</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905" t="str">
        <f t="shared" si="66"/>
        <v>G61100</v>
      </c>
      <c r="AK703" s="905" t="str">
        <f t="shared" si="67"/>
        <v>COUTANT CRUZE</v>
      </c>
      <c r="AL703" s="905">
        <f>IFERROR(INDEX(G703:R703,1,MATCH(Parametres!$B$3,G$1:R$1,0)-1)*IF(OR(F703="L",F703="S",F703="I"),-1,1),"")</f>
        <v>0</v>
      </c>
      <c r="AM703" s="905">
        <f t="shared" si="62"/>
        <v>0</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63"/>
        <v>G61100</v>
      </c>
      <c r="AU703" s="488" t="str">
        <f t="shared" si="64"/>
        <v>COUTANT CRUZE</v>
      </c>
      <c r="AV703" s="899">
        <f>IFERROR(INDEX(V703:AG703,1,MATCH(Parametres!$B$3,V$1:AG$1,0)-1)*IF(OR(C703="L",C703="S",C703="I"),-1,1),"")</f>
        <v>0</v>
      </c>
      <c r="AW703" s="899">
        <f t="shared" si="65"/>
        <v>0</v>
      </c>
      <c r="AX703" s="899">
        <f>INDEX(V703:AG703,1,MATCH(Parametres!$B$3,V$1:AG$1,0))*IF(OR(C703="L",C703="S",C703="I"),-1,1)</f>
        <v>0</v>
      </c>
      <c r="AY703" s="487" t="s">
        <v>337</v>
      </c>
      <c r="AZ703" s="487">
        <f>+VLOOKUP($AJ703,Data_Validation!$A:$E,5,0)</f>
        <v>0</v>
      </c>
    </row>
    <row r="704" spans="1:52" ht="15" customHeight="1">
      <c r="A704" s="706" t="s">
        <v>1148</v>
      </c>
      <c r="B704" s="706">
        <v>2025</v>
      </c>
      <c r="C704" s="706" t="s">
        <v>2666</v>
      </c>
      <c r="D704" s="706" t="s">
        <v>2667</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G61600</v>
      </c>
      <c r="AK704" s="905" t="str">
        <f t="shared" si="67"/>
        <v>INDEMNITE MARKETING AUTOS</v>
      </c>
      <c r="AL704" s="905">
        <f>IFERROR(INDEX(G704:R704,1,MATCH(Parametres!$B$3,G$1:R$1,0)-1)*IF(OR(F704="L",F704="S",F704="I"),-1,1),"")</f>
        <v>0</v>
      </c>
      <c r="AM704" s="905">
        <f t="shared" si="62"/>
        <v>0</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63"/>
        <v>G61600</v>
      </c>
      <c r="AU704" s="488" t="str">
        <f t="shared" si="64"/>
        <v>INDEMNITE MARKETING AUTOS</v>
      </c>
      <c r="AV704" s="899">
        <f>IFERROR(INDEX(V704:AG704,1,MATCH(Parametres!$B$3,V$1:AG$1,0)-1)*IF(OR(C704="L",C704="S",C704="I"),-1,1),"")</f>
        <v>0</v>
      </c>
      <c r="AW704" s="899">
        <f t="shared" si="65"/>
        <v>0</v>
      </c>
      <c r="AX704" s="899">
        <f>INDEX(V704:AG704,1,MATCH(Parametres!$B$3,V$1:AG$1,0))*IF(OR(C704="L",C704="S",C704="I"),-1,1)</f>
        <v>0</v>
      </c>
      <c r="AY704" s="487" t="s">
        <v>337</v>
      </c>
      <c r="AZ704" s="487">
        <f>+VLOOKUP($AJ704,Data_Validation!$A:$E,5,0)</f>
        <v>0</v>
      </c>
    </row>
    <row r="705" spans="1:52" ht="15" customHeight="1">
      <c r="A705" s="706" t="s">
        <v>1148</v>
      </c>
      <c r="B705" s="706">
        <v>2025</v>
      </c>
      <c r="C705" s="706" t="s">
        <v>2668</v>
      </c>
      <c r="D705" s="706" t="s">
        <v>2669</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G61700</v>
      </c>
      <c r="AK705" s="905" t="str">
        <f t="shared" si="67"/>
        <v>COUT-AUTRES CHEV AUTOS</v>
      </c>
      <c r="AL705" s="905">
        <f>IFERROR(INDEX(G705:R705,1,MATCH(Parametres!$B$3,G$1:R$1,0)-1)*IF(OR(F705="L",F705="S",F705="I"),-1,1),"")</f>
        <v>0</v>
      </c>
      <c r="AM705" s="905">
        <f t="shared" si="62"/>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63"/>
        <v>G61700</v>
      </c>
      <c r="AU705" s="488" t="str">
        <f t="shared" si="64"/>
        <v>COUT-AUTRES CHEV AUTOS</v>
      </c>
      <c r="AV705" s="899">
        <f>IFERROR(INDEX(V705:AG705,1,MATCH(Parametres!$B$3,V$1:AG$1,0)-1)*IF(OR(C705="L",C705="S",C705="I"),-1,1),"")</f>
        <v>0</v>
      </c>
      <c r="AW705" s="899">
        <f t="shared" si="65"/>
        <v>0</v>
      </c>
      <c r="AX705" s="899">
        <f>INDEX(V705:AG705,1,MATCH(Parametres!$B$3,V$1:AG$1,0))*IF(OR(C705="L",C705="S",C705="I"),-1,1)</f>
        <v>0</v>
      </c>
      <c r="AY705" s="487" t="s">
        <v>337</v>
      </c>
      <c r="AZ705" s="487" t="e">
        <f>+VLOOKUP($AJ705,Data_Validation!$A:$E,5,0)</f>
        <v>#N/A</v>
      </c>
    </row>
    <row r="706" spans="1:52" ht="15" customHeight="1">
      <c r="A706" s="706" t="s">
        <v>1148</v>
      </c>
      <c r="B706" s="706">
        <v>2025</v>
      </c>
      <c r="C706" s="706" t="s">
        <v>2670</v>
      </c>
      <c r="D706" s="706" t="s">
        <v>2671</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905" t="str">
        <f t="shared" si="66"/>
        <v>G61720</v>
      </c>
      <c r="AK706" s="905" t="str">
        <f t="shared" si="67"/>
        <v>COUT-AUTRE CHEV.AUTOS-LOC</v>
      </c>
      <c r="AL706" s="905">
        <f>IFERROR(INDEX(G706:R706,1,MATCH(Parametres!$B$3,G$1:R$1,0)-1)*IF(OR(F706="L",F706="S",F706="I"),-1,1),"")</f>
        <v>0</v>
      </c>
      <c r="AM706" s="905">
        <f t="shared" si="62"/>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63"/>
        <v>G61720</v>
      </c>
      <c r="AU706" s="488" t="str">
        <f t="shared" si="64"/>
        <v>COUT-AUTRE CHEV.AUTOS-LOC</v>
      </c>
      <c r="AV706" s="899">
        <f>IFERROR(INDEX(V706:AG706,1,MATCH(Parametres!$B$3,V$1:AG$1,0)-1)*IF(OR(C706="L",C706="S",C706="I"),-1,1),"")</f>
        <v>0</v>
      </c>
      <c r="AW706" s="899">
        <f t="shared" si="65"/>
        <v>0</v>
      </c>
      <c r="AX706" s="899">
        <f>INDEX(V706:AG706,1,MATCH(Parametres!$B$3,V$1:AG$1,0))*IF(OR(C706="L",C706="S",C706="I"),-1,1)</f>
        <v>0</v>
      </c>
      <c r="AY706" s="487" t="s">
        <v>337</v>
      </c>
      <c r="AZ706" s="487" t="e">
        <f>+VLOOKUP($AJ706,Data_Validation!$A:$E,5,0)</f>
        <v>#N/A</v>
      </c>
    </row>
    <row r="707" spans="1:52" ht="15" customHeight="1">
      <c r="A707" s="706" t="s">
        <v>1148</v>
      </c>
      <c r="B707" s="706">
        <v>2025</v>
      </c>
      <c r="C707" s="706" t="s">
        <v>2672</v>
      </c>
      <c r="D707" s="706" t="s">
        <v>2673</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905" t="str">
        <f t="shared" si="66"/>
        <v>G61799</v>
      </c>
      <c r="AK707" s="905" t="str">
        <f t="shared" si="67"/>
        <v>COUT-ECHANGE CONCESSION.</v>
      </c>
      <c r="AL707" s="905">
        <f>IFERROR(INDEX(G707:R707,1,MATCH(Parametres!$B$3,G$1:R$1,0)-1)*IF(OR(F707="L",F707="S",F707="I"),-1,1),"")</f>
        <v>0</v>
      </c>
      <c r="AM707" s="905">
        <f t="shared" si="62"/>
        <v>0</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63"/>
        <v>G61799</v>
      </c>
      <c r="AU707" s="488" t="str">
        <f t="shared" si="64"/>
        <v>COUT-ECHANGE CONCESSION.</v>
      </c>
      <c r="AV707" s="899">
        <f>IFERROR(INDEX(V707:AG707,1,MATCH(Parametres!$B$3,V$1:AG$1,0)-1)*IF(OR(C707="L",C707="S",C707="I"),-1,1),"")</f>
        <v>0</v>
      </c>
      <c r="AW707" s="899">
        <f t="shared" si="65"/>
        <v>0</v>
      </c>
      <c r="AX707" s="899">
        <f>INDEX(V707:AG707,1,MATCH(Parametres!$B$3,V$1:AG$1,0))*IF(OR(C707="L",C707="S",C707="I"),-1,1)</f>
        <v>0</v>
      </c>
      <c r="AY707" s="487" t="s">
        <v>337</v>
      </c>
      <c r="AZ707" s="487">
        <f>+VLOOKUP($AJ707,Data_Validation!$A:$E,5,0)</f>
        <v>0</v>
      </c>
    </row>
    <row r="708" spans="1:52" ht="15" customHeight="1">
      <c r="A708" s="706" t="s">
        <v>1148</v>
      </c>
      <c r="B708" s="706">
        <v>2025</v>
      </c>
      <c r="C708" s="706" t="s">
        <v>2674</v>
      </c>
      <c r="D708" s="706" t="s">
        <v>2675</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905" t="str">
        <f t="shared" si="66"/>
        <v>G61800</v>
      </c>
      <c r="AK708" s="905" t="str">
        <f t="shared" si="67"/>
        <v>COUTANT AUTRE CHEVROLET</v>
      </c>
      <c r="AL708" s="905">
        <f>IFERROR(INDEX(G708:R708,1,MATCH(Parametres!$B$3,G$1:R$1,0)-1)*IF(OR(F708="L",F708="S",F708="I"),-1,1),"")</f>
        <v>0</v>
      </c>
      <c r="AM708" s="905">
        <f t="shared" ref="AM708:AM771" si="68">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T771" si="69">C708</f>
        <v>G61800</v>
      </c>
      <c r="AU708" s="488" t="str">
        <f t="shared" ref="AU708:AU771" si="70">D708</f>
        <v>COUTANT AUTRE CHEVROLET</v>
      </c>
      <c r="AV708" s="899">
        <f>IFERROR(INDEX(V708:AG708,1,MATCH(Parametres!$B$3,V$1:AG$1,0)-1)*IF(OR(C708="L",C708="S",C708="I"),-1,1),"")</f>
        <v>0</v>
      </c>
      <c r="AW708" s="899">
        <f t="shared" ref="AW708:AW771" si="71">AX708-AV708</f>
        <v>0</v>
      </c>
      <c r="AX708" s="899">
        <f>INDEX(V708:AG708,1,MATCH(Parametres!$B$3,V$1:AG$1,0))*IF(OR(C708="L",C708="S",C708="I"),-1,1)</f>
        <v>0</v>
      </c>
      <c r="AY708" s="487" t="s">
        <v>337</v>
      </c>
      <c r="AZ708" s="487" t="e">
        <f>+VLOOKUP($AJ708,Data_Validation!$A:$E,5,0)</f>
        <v>#N/A</v>
      </c>
    </row>
    <row r="709" spans="1:52" ht="15" customHeight="1">
      <c r="A709" s="706" t="s">
        <v>1148</v>
      </c>
      <c r="B709" s="706">
        <v>2025</v>
      </c>
      <c r="C709" s="706" t="s">
        <v>2676</v>
      </c>
      <c r="D709" s="706" t="s">
        <v>2677</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G62000</v>
      </c>
      <c r="AK709" s="905" t="str">
        <f t="shared" si="67"/>
        <v>COUT-PARC VOITURES</v>
      </c>
      <c r="AL709" s="905">
        <f>IFERROR(INDEX(G709:R709,1,MATCH(Parametres!$B$3,G$1:R$1,0)-1)*IF(OR(F709="L",F709="S",F709="I"),-1,1),"")</f>
        <v>0</v>
      </c>
      <c r="AM709" s="905">
        <f t="shared" si="68"/>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69"/>
        <v>G62000</v>
      </c>
      <c r="AU709" s="488" t="str">
        <f t="shared" si="70"/>
        <v>COUT-PARC VOITURES</v>
      </c>
      <c r="AV709" s="899">
        <f>IFERROR(INDEX(V709:AG709,1,MATCH(Parametres!$B$3,V$1:AG$1,0)-1)*IF(OR(C709="L",C709="S",C709="I"),-1,1),"")</f>
        <v>0</v>
      </c>
      <c r="AW709" s="899">
        <f t="shared" si="71"/>
        <v>0</v>
      </c>
      <c r="AX709" s="899">
        <f>INDEX(V709:AG709,1,MATCH(Parametres!$B$3,V$1:AG$1,0))*IF(OR(C709="L",C709="S",C709="I"),-1,1)</f>
        <v>0</v>
      </c>
      <c r="AY709" s="487" t="s">
        <v>337</v>
      </c>
      <c r="AZ709" s="487" t="e">
        <f>+VLOOKUP($AJ709,Data_Validation!$A:$E,5,0)</f>
        <v>#N/A</v>
      </c>
    </row>
    <row r="710" spans="1:52" ht="15" customHeight="1">
      <c r="A710" s="706" t="s">
        <v>1148</v>
      </c>
      <c r="B710" s="706">
        <v>2025</v>
      </c>
      <c r="C710" s="706" t="s">
        <v>2678</v>
      </c>
      <c r="D710" s="706" t="s">
        <v>2679</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G62100</v>
      </c>
      <c r="AK710" s="905" t="str">
        <f t="shared" si="67"/>
        <v>COUT-VOITURES INTERNE</v>
      </c>
      <c r="AL710" s="905">
        <f>IFERROR(INDEX(G710:R710,1,MATCH(Parametres!$B$3,G$1:R$1,0)-1)*IF(OR(F710="L",F710="S",F710="I"),-1,1),"")</f>
        <v>0</v>
      </c>
      <c r="AM710" s="905">
        <f t="shared" si="68"/>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69"/>
        <v>G62100</v>
      </c>
      <c r="AU710" s="488" t="str">
        <f t="shared" si="70"/>
        <v>COUT-VOITURES INTERNE</v>
      </c>
      <c r="AV710" s="899">
        <f>IFERROR(INDEX(V710:AG710,1,MATCH(Parametres!$B$3,V$1:AG$1,0)-1)*IF(OR(C710="L",C710="S",C710="I"),-1,1),"")</f>
        <v>0</v>
      </c>
      <c r="AW710" s="899">
        <f t="shared" si="71"/>
        <v>0</v>
      </c>
      <c r="AX710" s="899">
        <f>INDEX(V710:AG710,1,MATCH(Parametres!$B$3,V$1:AG$1,0))*IF(OR(C710="L",C710="S",C710="I"),-1,1)</f>
        <v>0</v>
      </c>
      <c r="AY710" s="487" t="s">
        <v>337</v>
      </c>
      <c r="AZ710" s="487" t="e">
        <f>+VLOOKUP($AJ710,Data_Validation!$A:$E,5,0)</f>
        <v>#N/A</v>
      </c>
    </row>
    <row r="711" spans="1:52" ht="15" customHeight="1">
      <c r="A711" s="706" t="s">
        <v>1148</v>
      </c>
      <c r="B711" s="706">
        <v>2025</v>
      </c>
      <c r="C711" s="706" t="s">
        <v>2680</v>
      </c>
      <c r="D711" s="706" t="s">
        <v>2681</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G62300</v>
      </c>
      <c r="AK711" s="905" t="str">
        <f t="shared" si="67"/>
        <v>COUT-VENTURE-UPLANDER</v>
      </c>
      <c r="AL711" s="905">
        <f>IFERROR(INDEX(G711:R711,1,MATCH(Parametres!$B$3,G$1:R$1,0)-1)*IF(OR(F711="L",F711="S",F711="I"),-1,1),"")</f>
        <v>0</v>
      </c>
      <c r="AM711" s="905">
        <f t="shared" si="68"/>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69"/>
        <v>G62300</v>
      </c>
      <c r="AU711" s="488" t="str">
        <f t="shared" si="70"/>
        <v>COUT-VENTURE-UPLANDER</v>
      </c>
      <c r="AV711" s="899">
        <f>IFERROR(INDEX(V711:AG711,1,MATCH(Parametres!$B$3,V$1:AG$1,0)-1)*IF(OR(C711="L",C711="S",C711="I"),-1,1),"")</f>
        <v>0</v>
      </c>
      <c r="AW711" s="899">
        <f t="shared" si="71"/>
        <v>0</v>
      </c>
      <c r="AX711" s="899">
        <f>INDEX(V711:AG711,1,MATCH(Parametres!$B$3,V$1:AG$1,0))*IF(OR(C711="L",C711="S",C711="I"),-1,1)</f>
        <v>0</v>
      </c>
      <c r="AY711" s="487" t="s">
        <v>337</v>
      </c>
      <c r="AZ711" s="487" t="e">
        <f>+VLOOKUP($AJ711,Data_Validation!$A:$E,5,0)</f>
        <v>#N/A</v>
      </c>
    </row>
    <row r="712" spans="1:52" ht="15" customHeight="1">
      <c r="A712" s="706" t="s">
        <v>1148</v>
      </c>
      <c r="B712" s="706">
        <v>2025</v>
      </c>
      <c r="C712" s="706" t="s">
        <v>2682</v>
      </c>
      <c r="D712" s="706" t="s">
        <v>2683</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905" t="str">
        <f t="shared" si="66"/>
        <v>G62312</v>
      </c>
      <c r="AK712" s="905" t="str">
        <f t="shared" si="67"/>
        <v>COUT-KODIAK/TOPKICK 4/5</v>
      </c>
      <c r="AL712" s="905">
        <f>IFERROR(INDEX(G712:R712,1,MATCH(Parametres!$B$3,G$1:R$1,0)-1)*IF(OR(F712="L",F712="S",F712="I"),-1,1),"")</f>
        <v>0</v>
      </c>
      <c r="AM712" s="905">
        <f t="shared" si="68"/>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69"/>
        <v>G62312</v>
      </c>
      <c r="AU712" s="488" t="str">
        <f t="shared" si="70"/>
        <v>COUT-KODIAK/TOPKICK 4/5</v>
      </c>
      <c r="AV712" s="899">
        <f>IFERROR(INDEX(V712:AG712,1,MATCH(Parametres!$B$3,V$1:AG$1,0)-1)*IF(OR(C712="L",C712="S",C712="I"),-1,1),"")</f>
        <v>0</v>
      </c>
      <c r="AW712" s="899">
        <f t="shared" si="71"/>
        <v>0</v>
      </c>
      <c r="AX712" s="899">
        <f>INDEX(V712:AG712,1,MATCH(Parametres!$B$3,V$1:AG$1,0))*IF(OR(C712="L",C712="S",C712="I"),-1,1)</f>
        <v>0</v>
      </c>
      <c r="AY712" s="487" t="s">
        <v>337</v>
      </c>
      <c r="AZ712" s="487" t="e">
        <f>+VLOOKUP($AJ712,Data_Validation!$A:$E,5,0)</f>
        <v>#N/A</v>
      </c>
    </row>
    <row r="713" spans="1:52" ht="15" customHeight="1">
      <c r="A713" s="706" t="s">
        <v>1148</v>
      </c>
      <c r="B713" s="706">
        <v>2025</v>
      </c>
      <c r="C713" s="706" t="s">
        <v>2684</v>
      </c>
      <c r="D713" s="706" t="s">
        <v>2685</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G62320</v>
      </c>
      <c r="AK713" s="905" t="str">
        <f t="shared" si="67"/>
        <v>COUT-VENTURE-UPLAN   -LOC</v>
      </c>
      <c r="AL713" s="905">
        <f>IFERROR(INDEX(G713:R713,1,MATCH(Parametres!$B$3,G$1:R$1,0)-1)*IF(OR(F713="L",F713="S",F713="I"),-1,1),"")</f>
        <v>0</v>
      </c>
      <c r="AM713" s="905">
        <f t="shared" si="68"/>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69"/>
        <v>G62320</v>
      </c>
      <c r="AU713" s="488" t="str">
        <f t="shared" si="70"/>
        <v>COUT-VENTURE-UPLAN   -LOC</v>
      </c>
      <c r="AV713" s="899">
        <f>IFERROR(INDEX(V713:AG713,1,MATCH(Parametres!$B$3,V$1:AG$1,0)-1)*IF(OR(C713="L",C713="S",C713="I"),-1,1),"")</f>
        <v>0</v>
      </c>
      <c r="AW713" s="899">
        <f t="shared" si="71"/>
        <v>0</v>
      </c>
      <c r="AX713" s="899">
        <f>INDEX(V713:AG713,1,MATCH(Parametres!$B$3,V$1:AG$1,0))*IF(OR(C713="L",C713="S",C713="I"),-1,1)</f>
        <v>0</v>
      </c>
      <c r="AY713" s="487" t="s">
        <v>337</v>
      </c>
      <c r="AZ713" s="487" t="e">
        <f>+VLOOKUP($AJ713,Data_Validation!$A:$E,5,0)</f>
        <v>#N/A</v>
      </c>
    </row>
    <row r="714" spans="1:52" ht="15" hidden="1" customHeight="1">
      <c r="A714" s="706" t="s">
        <v>1148</v>
      </c>
      <c r="B714" s="706">
        <v>2025</v>
      </c>
      <c r="C714" s="706" t="s">
        <v>2686</v>
      </c>
      <c r="D714" s="706" t="s">
        <v>2687</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G62400</v>
      </c>
      <c r="AK714" s="905" t="str">
        <f t="shared" si="67"/>
        <v>COUT-TERRAIN</v>
      </c>
      <c r="AL714" s="905">
        <f>IFERROR(INDEX(G714:R714,1,MATCH(Parametres!$B$3,G$1:R$1,0)-1)*IF(OR(F714="L",F714="S",F714="I"),-1,1),"")</f>
        <v>645444.44999999995</v>
      </c>
      <c r="AM714" s="905">
        <f t="shared" si="68"/>
        <v>0</v>
      </c>
      <c r="AN714" s="905">
        <f>INDEX(G714:R714,1,MATCH(Parametres!$B$3,G$1:R$1,0))*IF(OR(F714="L",F714="S",F714="I"),-1,1)</f>
        <v>645444.44999999995</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69"/>
        <v>G62400</v>
      </c>
      <c r="AU714" s="488" t="str">
        <f t="shared" si="70"/>
        <v>COUT-TERRAIN</v>
      </c>
      <c r="AV714" s="899">
        <f>IFERROR(INDEX(V714:AG714,1,MATCH(Parametres!$B$3,V$1:AG$1,0)-1)*IF(OR(C714="L",C714="S",C714="I"),-1,1),"")</f>
        <v>0</v>
      </c>
      <c r="AW714" s="899">
        <f t="shared" si="71"/>
        <v>0</v>
      </c>
      <c r="AX714" s="899">
        <f>INDEX(V714:AG714,1,MATCH(Parametres!$B$3,V$1:AG$1,0))*IF(OR(C714="L",C714="S",C714="I"),-1,1)</f>
        <v>0</v>
      </c>
      <c r="AY714" s="487" t="s">
        <v>337</v>
      </c>
      <c r="AZ714" s="487">
        <f>+VLOOKUP($AJ714,Data_Validation!$A:$E,5,0)</f>
        <v>0</v>
      </c>
    </row>
    <row r="715" spans="1:52" ht="15" hidden="1" customHeight="1">
      <c r="A715" s="706" t="s">
        <v>1148</v>
      </c>
      <c r="B715" s="706">
        <v>2025</v>
      </c>
      <c r="C715" s="706" t="s">
        <v>2688</v>
      </c>
      <c r="D715" s="706" t="s">
        <v>2689</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905" t="str">
        <f t="shared" si="66"/>
        <v>G62401</v>
      </c>
      <c r="AK715" s="905" t="str">
        <f t="shared" si="67"/>
        <v>COUT BOLT EUV</v>
      </c>
      <c r="AL715" s="905">
        <f>IFERROR(INDEX(G715:R715,1,MATCH(Parametres!$B$3,G$1:R$1,0)-1)*IF(OR(F715="L",F715="S",F715="I"),-1,1),"")</f>
        <v>0</v>
      </c>
      <c r="AM715" s="905">
        <f t="shared" si="68"/>
        <v>0</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69"/>
        <v>G62401</v>
      </c>
      <c r="AU715" s="488" t="str">
        <f t="shared" si="70"/>
        <v>COUT BOLT EUV</v>
      </c>
      <c r="AV715" s="899">
        <f>IFERROR(INDEX(V715:AG715,1,MATCH(Parametres!$B$3,V$1:AG$1,0)-1)*IF(OR(C715="L",C715="S",C715="I"),-1,1),"")</f>
        <v>0</v>
      </c>
      <c r="AW715" s="899">
        <f t="shared" si="71"/>
        <v>0</v>
      </c>
      <c r="AX715" s="899">
        <f>INDEX(V715:AG715,1,MATCH(Parametres!$B$3,V$1:AG$1,0))*IF(OR(C715="L",C715="S",C715="I"),-1,1)</f>
        <v>0</v>
      </c>
      <c r="AY715" s="487" t="s">
        <v>337</v>
      </c>
      <c r="AZ715" s="487">
        <f>+VLOOKUP($AJ715,Data_Validation!$A:$E,5,0)</f>
        <v>0</v>
      </c>
    </row>
    <row r="716" spans="1:52" ht="15" customHeight="1">
      <c r="A716" s="706" t="s">
        <v>1148</v>
      </c>
      <c r="B716" s="706">
        <v>2025</v>
      </c>
      <c r="C716" s="706" t="s">
        <v>2690</v>
      </c>
      <c r="D716" s="706" t="s">
        <v>2691</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G62412</v>
      </c>
      <c r="AK716" s="905" t="str">
        <f t="shared" si="67"/>
        <v>COUT-TOPKICK 6/7/8 C</v>
      </c>
      <c r="AL716" s="905">
        <f>IFERROR(INDEX(G716:R716,1,MATCH(Parametres!$B$3,G$1:R$1,0)-1)*IF(OR(F716="L",F716="S",F716="I"),-1,1),"")</f>
        <v>0</v>
      </c>
      <c r="AM716" s="905">
        <f t="shared" si="68"/>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69"/>
        <v>G62412</v>
      </c>
      <c r="AU716" s="488" t="str">
        <f t="shared" si="70"/>
        <v>COUT-TOPKICK 6/7/8 C</v>
      </c>
      <c r="AV716" s="899">
        <f>IFERROR(INDEX(V716:AG716,1,MATCH(Parametres!$B$3,V$1:AG$1,0)-1)*IF(OR(C716="L",C716="S",C716="I"),-1,1),"")</f>
        <v>0</v>
      </c>
      <c r="AW716" s="899">
        <f t="shared" si="71"/>
        <v>0</v>
      </c>
      <c r="AX716" s="899">
        <f>INDEX(V716:AG716,1,MATCH(Parametres!$B$3,V$1:AG$1,0))*IF(OR(C716="L",C716="S",C716="I"),-1,1)</f>
        <v>0</v>
      </c>
      <c r="AY716" s="487" t="s">
        <v>337</v>
      </c>
      <c r="AZ716" s="487" t="e">
        <f>+VLOOKUP($AJ716,Data_Validation!$A:$E,5,0)</f>
        <v>#N/A</v>
      </c>
    </row>
    <row r="717" spans="1:52" ht="15" hidden="1" customHeight="1">
      <c r="A717" s="706" t="s">
        <v>1148</v>
      </c>
      <c r="B717" s="706">
        <v>2025</v>
      </c>
      <c r="C717" s="706" t="s">
        <v>2692</v>
      </c>
      <c r="D717" s="706" t="s">
        <v>2693</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G62500</v>
      </c>
      <c r="AK717" s="905" t="str">
        <f t="shared" si="67"/>
        <v>COUT-G EXPRESS</v>
      </c>
      <c r="AL717" s="905">
        <f>IFERROR(INDEX(G717:R717,1,MATCH(Parametres!$B$3,G$1:R$1,0)-1)*IF(OR(F717="L",F717="S",F717="I"),-1,1),"")</f>
        <v>0</v>
      </c>
      <c r="AM717" s="905">
        <f t="shared" si="68"/>
        <v>0</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69"/>
        <v>G62500</v>
      </c>
      <c r="AU717" s="488" t="str">
        <f t="shared" si="70"/>
        <v>COUT-G EXPRESS</v>
      </c>
      <c r="AV717" s="899">
        <f>IFERROR(INDEX(V717:AG717,1,MATCH(Parametres!$B$3,V$1:AG$1,0)-1)*IF(OR(C717="L",C717="S",C717="I"),-1,1),"")</f>
        <v>0</v>
      </c>
      <c r="AW717" s="899">
        <f t="shared" si="71"/>
        <v>0</v>
      </c>
      <c r="AX717" s="899">
        <f>INDEX(V717:AG717,1,MATCH(Parametres!$B$3,V$1:AG$1,0))*IF(OR(C717="L",C717="S",C717="I"),-1,1)</f>
        <v>0</v>
      </c>
      <c r="AY717" s="487" t="s">
        <v>337</v>
      </c>
      <c r="AZ717" s="487">
        <f>+VLOOKUP($AJ717,Data_Validation!$A:$E,5,0)</f>
        <v>0</v>
      </c>
    </row>
    <row r="718" spans="1:52" ht="15" hidden="1" customHeight="1">
      <c r="A718" s="706" t="s">
        <v>1148</v>
      </c>
      <c r="B718" s="706">
        <v>2025</v>
      </c>
      <c r="C718" s="706" t="s">
        <v>2694</v>
      </c>
      <c r="D718" s="706" t="s">
        <v>2695</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905" t="str">
        <f t="shared" si="66"/>
        <v>G62502</v>
      </c>
      <c r="AK718" s="905" t="str">
        <f t="shared" si="67"/>
        <v>COUTANT SAVANA</v>
      </c>
      <c r="AL718" s="905">
        <f>IFERROR(INDEX(G718:R718,1,MATCH(Parametres!$B$3,G$1:R$1,0)-1)*IF(OR(F718="L",F718="S",F718="I"),-1,1),"")</f>
        <v>0</v>
      </c>
      <c r="AM718" s="905">
        <f t="shared" si="68"/>
        <v>0</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69"/>
        <v>G62502</v>
      </c>
      <c r="AU718" s="488" t="str">
        <f t="shared" si="70"/>
        <v>COUTANT SAVANA</v>
      </c>
      <c r="AV718" s="899">
        <f>IFERROR(INDEX(V718:AG718,1,MATCH(Parametres!$B$3,V$1:AG$1,0)-1)*IF(OR(C718="L",C718="S",C718="I"),-1,1),"")</f>
        <v>0</v>
      </c>
      <c r="AW718" s="899">
        <f t="shared" si="71"/>
        <v>0</v>
      </c>
      <c r="AX718" s="899">
        <f>INDEX(V718:AG718,1,MATCH(Parametres!$B$3,V$1:AG$1,0))*IF(OR(C718="L",C718="S",C718="I"),-1,1)</f>
        <v>0</v>
      </c>
      <c r="AY718" s="487" t="s">
        <v>337</v>
      </c>
      <c r="AZ718" s="487">
        <f>+VLOOKUP($AJ718,Data_Validation!$A:$E,5,0)</f>
        <v>0</v>
      </c>
    </row>
    <row r="719" spans="1:52" ht="15" customHeight="1">
      <c r="A719" s="706" t="s">
        <v>1148</v>
      </c>
      <c r="B719" s="706">
        <v>2025</v>
      </c>
      <c r="C719" s="706" t="s">
        <v>2696</v>
      </c>
      <c r="D719" s="706" t="s">
        <v>2697</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905" t="str">
        <f t="shared" si="66"/>
        <v>G62512</v>
      </c>
      <c r="AK719" s="905" t="str">
        <f t="shared" si="67"/>
        <v>COUT-TOPKICK 6/7/8</v>
      </c>
      <c r="AL719" s="905">
        <f>IFERROR(INDEX(G719:R719,1,MATCH(Parametres!$B$3,G$1:R$1,0)-1)*IF(OR(F719="L",F719="S",F719="I"),-1,1),"")</f>
        <v>0</v>
      </c>
      <c r="AM719" s="905">
        <f t="shared" si="68"/>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69"/>
        <v>G62512</v>
      </c>
      <c r="AU719" s="488" t="str">
        <f t="shared" si="70"/>
        <v>COUT-TOPKICK 6/7/8</v>
      </c>
      <c r="AV719" s="899">
        <f>IFERROR(INDEX(V719:AG719,1,MATCH(Parametres!$B$3,V$1:AG$1,0)-1)*IF(OR(C719="L",C719="S",C719="I"),-1,1),"")</f>
        <v>0</v>
      </c>
      <c r="AW719" s="899">
        <f t="shared" si="71"/>
        <v>0</v>
      </c>
      <c r="AX719" s="899">
        <f>INDEX(V719:AG719,1,MATCH(Parametres!$B$3,V$1:AG$1,0))*IF(OR(C719="L",C719="S",C719="I"),-1,1)</f>
        <v>0</v>
      </c>
      <c r="AY719" s="487" t="s">
        <v>337</v>
      </c>
      <c r="AZ719" s="487" t="e">
        <f>+VLOOKUP($AJ719,Data_Validation!$A:$E,5,0)</f>
        <v>#N/A</v>
      </c>
    </row>
    <row r="720" spans="1:52" ht="15" customHeight="1">
      <c r="A720" s="706" t="s">
        <v>1148</v>
      </c>
      <c r="B720" s="706">
        <v>2025</v>
      </c>
      <c r="C720" s="706" t="s">
        <v>2698</v>
      </c>
      <c r="D720" s="706" t="s">
        <v>2699</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905" t="str">
        <f t="shared" si="66"/>
        <v>G62520</v>
      </c>
      <c r="AK720" s="905" t="str">
        <f t="shared" si="67"/>
        <v>COUT-G EXPRESS       -LOC</v>
      </c>
      <c r="AL720" s="905">
        <f>IFERROR(INDEX(G720:R720,1,MATCH(Parametres!$B$3,G$1:R$1,0)-1)*IF(OR(F720="L",F720="S",F720="I"),-1,1),"")</f>
        <v>0</v>
      </c>
      <c r="AM720" s="905">
        <f t="shared" si="68"/>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69"/>
        <v>G62520</v>
      </c>
      <c r="AU720" s="488" t="str">
        <f t="shared" si="70"/>
        <v>COUT-G EXPRESS       -LOC</v>
      </c>
      <c r="AV720" s="899">
        <f>IFERROR(INDEX(V720:AG720,1,MATCH(Parametres!$B$3,V$1:AG$1,0)-1)*IF(OR(C720="L",C720="S",C720="I"),-1,1),"")</f>
        <v>0</v>
      </c>
      <c r="AW720" s="899">
        <f t="shared" si="71"/>
        <v>0</v>
      </c>
      <c r="AX720" s="899">
        <f>INDEX(V720:AG720,1,MATCH(Parametres!$B$3,V$1:AG$1,0))*IF(OR(C720="L",C720="S",C720="I"),-1,1)</f>
        <v>0</v>
      </c>
      <c r="AY720" s="487" t="s">
        <v>337</v>
      </c>
      <c r="AZ720" s="487" t="e">
        <f>+VLOOKUP($AJ720,Data_Validation!$A:$E,5,0)</f>
        <v>#N/A</v>
      </c>
    </row>
    <row r="721" spans="1:52" ht="15" hidden="1" customHeight="1">
      <c r="A721" s="706" t="s">
        <v>1148</v>
      </c>
      <c r="B721" s="706">
        <v>2025</v>
      </c>
      <c r="C721" s="706" t="s">
        <v>2700</v>
      </c>
      <c r="D721" s="706" t="s">
        <v>2701</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905" t="str">
        <f t="shared" si="66"/>
        <v>G62600</v>
      </c>
      <c r="AK721" s="905" t="str">
        <f t="shared" si="67"/>
        <v>COUT-SPICKUP/COLORADO</v>
      </c>
      <c r="AL721" s="905">
        <f>IFERROR(INDEX(G721:R721,1,MATCH(Parametres!$B$3,G$1:R$1,0)-1)*IF(OR(F721="L",F721="S",F721="I"),-1,1),"")</f>
        <v>574367.27</v>
      </c>
      <c r="AM721" s="905">
        <f t="shared" si="68"/>
        <v>70619.329999999958</v>
      </c>
      <c r="AN721" s="905">
        <f>INDEX(G721:R721,1,MATCH(Parametres!$B$3,G$1:R$1,0))*IF(OR(F721="L",F721="S",F721="I"),-1,1)</f>
        <v>644986.6</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69"/>
        <v>G62600</v>
      </c>
      <c r="AU721" s="488" t="str">
        <f t="shared" si="70"/>
        <v>COUT-SPICKUP/COLORADO</v>
      </c>
      <c r="AV721" s="899">
        <f>IFERROR(INDEX(V721:AG721,1,MATCH(Parametres!$B$3,V$1:AG$1,0)-1)*IF(OR(C721="L",C721="S",C721="I"),-1,1),"")</f>
        <v>0</v>
      </c>
      <c r="AW721" s="899">
        <f t="shared" si="71"/>
        <v>0</v>
      </c>
      <c r="AX721" s="899">
        <f>INDEX(V721:AG721,1,MATCH(Parametres!$B$3,V$1:AG$1,0))*IF(OR(C721="L",C721="S",C721="I"),-1,1)</f>
        <v>0</v>
      </c>
      <c r="AY721" s="487" t="s">
        <v>337</v>
      </c>
      <c r="AZ721" s="487">
        <f>+VLOOKUP($AJ721,Data_Validation!$A:$E,5,0)</f>
        <v>0</v>
      </c>
    </row>
    <row r="722" spans="1:52" ht="15" hidden="1" customHeight="1">
      <c r="A722" s="706" t="s">
        <v>1148</v>
      </c>
      <c r="B722" s="706">
        <v>2025</v>
      </c>
      <c r="C722" s="706" t="s">
        <v>2702</v>
      </c>
      <c r="D722" s="706" t="s">
        <v>2631</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905" t="str">
        <f t="shared" si="66"/>
        <v>G62602</v>
      </c>
      <c r="AK722" s="905" t="str">
        <f t="shared" si="67"/>
        <v>COUT - GMC CANYON</v>
      </c>
      <c r="AL722" s="905">
        <f>IFERROR(INDEX(G722:R722,1,MATCH(Parametres!$B$3,G$1:R$1,0)-1)*IF(OR(F722="L",F722="S",F722="I"),-1,1),"")</f>
        <v>493831.32</v>
      </c>
      <c r="AM722" s="905">
        <f t="shared" si="68"/>
        <v>0</v>
      </c>
      <c r="AN722" s="905">
        <f>INDEX(G722:R722,1,MATCH(Parametres!$B$3,G$1:R$1,0))*IF(OR(F722="L",F722="S",F722="I"),-1,1)</f>
        <v>493831.32</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69"/>
        <v>G62602</v>
      </c>
      <c r="AU722" s="488" t="str">
        <f t="shared" si="70"/>
        <v>COUT - GMC CANYON</v>
      </c>
      <c r="AV722" s="899">
        <f>IFERROR(INDEX(V722:AG722,1,MATCH(Parametres!$B$3,V$1:AG$1,0)-1)*IF(OR(C722="L",C722="S",C722="I"),-1,1),"")</f>
        <v>0</v>
      </c>
      <c r="AW722" s="899">
        <f t="shared" si="71"/>
        <v>0</v>
      </c>
      <c r="AX722" s="899">
        <f>INDEX(V722:AG722,1,MATCH(Parametres!$B$3,V$1:AG$1,0))*IF(OR(C722="L",C722="S",C722="I"),-1,1)</f>
        <v>0</v>
      </c>
      <c r="AY722" s="487" t="s">
        <v>337</v>
      </c>
      <c r="AZ722" s="487">
        <f>+VLOOKUP($AJ722,Data_Validation!$A:$E,5,0)</f>
        <v>0</v>
      </c>
    </row>
    <row r="723" spans="1:52" ht="15" hidden="1" customHeight="1">
      <c r="A723" s="706" t="s">
        <v>1148</v>
      </c>
      <c r="B723" s="706">
        <v>2025</v>
      </c>
      <c r="C723" s="706" t="s">
        <v>2703</v>
      </c>
      <c r="D723" s="706" t="s">
        <v>2704</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905" t="str">
        <f t="shared" ref="AJ723:AJ786" si="72">C723</f>
        <v>G62612</v>
      </c>
      <c r="AK723" s="905" t="str">
        <f t="shared" ref="AK723:AK786" si="73">D723</f>
        <v>COUT-BUICK ENVISION</v>
      </c>
      <c r="AL723" s="905">
        <f>IFERROR(INDEX(G723:R723,1,MATCH(Parametres!$B$3,G$1:R$1,0)-1)*IF(OR(F723="L",F723="S",F723="I"),-1,1),"")</f>
        <v>406583.07</v>
      </c>
      <c r="AM723" s="905">
        <f t="shared" si="68"/>
        <v>53009.5</v>
      </c>
      <c r="AN723" s="905">
        <f>INDEX(G723:R723,1,MATCH(Parametres!$B$3,G$1:R$1,0))*IF(OR(F723="L",F723="S",F723="I"),-1,1)</f>
        <v>459592.57</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69"/>
        <v>G62612</v>
      </c>
      <c r="AU723" s="488" t="str">
        <f t="shared" si="70"/>
        <v>COUT-BUICK ENVISION</v>
      </c>
      <c r="AV723" s="899">
        <f>IFERROR(INDEX(V723:AG723,1,MATCH(Parametres!$B$3,V$1:AG$1,0)-1)*IF(OR(C723="L",C723="S",C723="I"),-1,1),"")</f>
        <v>0</v>
      </c>
      <c r="AW723" s="899">
        <f t="shared" si="71"/>
        <v>0</v>
      </c>
      <c r="AX723" s="899">
        <f>INDEX(V723:AG723,1,MATCH(Parametres!$B$3,V$1:AG$1,0))*IF(OR(C723="L",C723="S",C723="I"),-1,1)</f>
        <v>0</v>
      </c>
      <c r="AY723" s="487" t="s">
        <v>337</v>
      </c>
      <c r="AZ723" s="487">
        <f>+VLOOKUP($AJ723,Data_Validation!$A:$E,5,0)</f>
        <v>0</v>
      </c>
    </row>
    <row r="724" spans="1:52" ht="15" hidden="1" customHeight="1">
      <c r="A724" s="706" t="s">
        <v>1148</v>
      </c>
      <c r="B724" s="706">
        <v>2025</v>
      </c>
      <c r="C724" s="706" t="s">
        <v>2705</v>
      </c>
      <c r="D724" s="706" t="s">
        <v>2706</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905" t="str">
        <f t="shared" si="72"/>
        <v>G62613</v>
      </c>
      <c r="AK724" s="905" t="str">
        <f t="shared" si="73"/>
        <v>COUT-BUICK ENVISTA</v>
      </c>
      <c r="AL724" s="905">
        <f>IFERROR(INDEX(G724:R724,1,MATCH(Parametres!$B$3,G$1:R$1,0)-1)*IF(OR(F724="L",F724="S",F724="I"),-1,1),"")</f>
        <v>512296.54</v>
      </c>
      <c r="AM724" s="905">
        <f t="shared" si="68"/>
        <v>99579.270000000077</v>
      </c>
      <c r="AN724" s="905">
        <f>INDEX(G724:R724,1,MATCH(Parametres!$B$3,G$1:R$1,0))*IF(OR(F724="L",F724="S",F724="I"),-1,1)</f>
        <v>611875.81000000006</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69"/>
        <v>G62613</v>
      </c>
      <c r="AU724" s="488" t="str">
        <f t="shared" si="70"/>
        <v>COUT-BUICK ENVISTA</v>
      </c>
      <c r="AV724" s="899">
        <f>IFERROR(INDEX(V724:AG724,1,MATCH(Parametres!$B$3,V$1:AG$1,0)-1)*IF(OR(C724="L",C724="S",C724="I"),-1,1),"")</f>
        <v>0</v>
      </c>
      <c r="AW724" s="899">
        <f t="shared" si="71"/>
        <v>0</v>
      </c>
      <c r="AX724" s="899">
        <f>INDEX(V724:AG724,1,MATCH(Parametres!$B$3,V$1:AG$1,0))*IF(OR(C724="L",C724="S",C724="I"),-1,1)</f>
        <v>0</v>
      </c>
      <c r="AY724" s="487" t="s">
        <v>337</v>
      </c>
      <c r="AZ724" s="487">
        <f>+VLOOKUP($AJ724,Data_Validation!$A:$E,5,0)</f>
        <v>0</v>
      </c>
    </row>
    <row r="725" spans="1:52" ht="15" customHeight="1">
      <c r="A725" s="706" t="s">
        <v>1148</v>
      </c>
      <c r="B725" s="706">
        <v>2025</v>
      </c>
      <c r="C725" s="706" t="s">
        <v>2707</v>
      </c>
      <c r="D725" s="706" t="s">
        <v>2708</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G62620</v>
      </c>
      <c r="AK725" s="905" t="str">
        <f t="shared" si="73"/>
        <v>COUT-SPICKUP/COLORADO-LOC</v>
      </c>
      <c r="AL725" s="905">
        <f>IFERROR(INDEX(G725:R725,1,MATCH(Parametres!$B$3,G$1:R$1,0)-1)*IF(OR(F725="L",F725="S",F725="I"),-1,1),"")</f>
        <v>0</v>
      </c>
      <c r="AM725" s="905">
        <f t="shared" si="68"/>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69"/>
        <v>G62620</v>
      </c>
      <c r="AU725" s="488" t="str">
        <f t="shared" si="70"/>
        <v>COUT-SPICKUP/COLORADO-LOC</v>
      </c>
      <c r="AV725" s="899">
        <f>IFERROR(INDEX(V725:AG725,1,MATCH(Parametres!$B$3,V$1:AG$1,0)-1)*IF(OR(C725="L",C725="S",C725="I"),-1,1),"")</f>
        <v>0</v>
      </c>
      <c r="AW725" s="899">
        <f t="shared" si="71"/>
        <v>0</v>
      </c>
      <c r="AX725" s="899">
        <f>INDEX(V725:AG725,1,MATCH(Parametres!$B$3,V$1:AG$1,0))*IF(OR(C725="L",C725="S",C725="I"),-1,1)</f>
        <v>0</v>
      </c>
      <c r="AY725" s="487" t="s">
        <v>337</v>
      </c>
      <c r="AZ725" s="487" t="e">
        <f>+VLOOKUP($AJ725,Data_Validation!$A:$E,5,0)</f>
        <v>#N/A</v>
      </c>
    </row>
    <row r="726" spans="1:52" ht="15" hidden="1" customHeight="1">
      <c r="A726" s="706" t="s">
        <v>1148</v>
      </c>
      <c r="B726" s="706">
        <v>2025</v>
      </c>
      <c r="C726" s="706" t="s">
        <v>2709</v>
      </c>
      <c r="D726" s="706" t="s">
        <v>2710</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905" t="str">
        <f t="shared" si="72"/>
        <v>G62700</v>
      </c>
      <c r="AK726" s="905" t="str">
        <f t="shared" si="73"/>
        <v>COUT-TRAVERSE</v>
      </c>
      <c r="AL726" s="905">
        <f>IFERROR(INDEX(G726:R726,1,MATCH(Parametres!$B$3,G$1:R$1,0)-1)*IF(OR(F726="L",F726="S",F726="I"),-1,1),"")</f>
        <v>286095.06</v>
      </c>
      <c r="AM726" s="905">
        <f t="shared" si="68"/>
        <v>0</v>
      </c>
      <c r="AN726" s="905">
        <f>INDEX(G726:R726,1,MATCH(Parametres!$B$3,G$1:R$1,0))*IF(OR(F726="L",F726="S",F726="I"),-1,1)</f>
        <v>286095.06</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69"/>
        <v>G62700</v>
      </c>
      <c r="AU726" s="488" t="str">
        <f t="shared" si="70"/>
        <v>COUT-TRAVERSE</v>
      </c>
      <c r="AV726" s="899">
        <f>IFERROR(INDEX(V726:AG726,1,MATCH(Parametres!$B$3,V$1:AG$1,0)-1)*IF(OR(C726="L",C726="S",C726="I"),-1,1),"")</f>
        <v>0</v>
      </c>
      <c r="AW726" s="899">
        <f t="shared" si="71"/>
        <v>0</v>
      </c>
      <c r="AX726" s="899">
        <f>INDEX(V726:AG726,1,MATCH(Parametres!$B$3,V$1:AG$1,0))*IF(OR(C726="L",C726="S",C726="I"),-1,1)</f>
        <v>0</v>
      </c>
      <c r="AY726" s="487" t="s">
        <v>337</v>
      </c>
      <c r="AZ726" s="487">
        <f>+VLOOKUP($AJ726,Data_Validation!$A:$E,5,0)</f>
        <v>0</v>
      </c>
    </row>
    <row r="727" spans="1:52" ht="15" hidden="1" customHeight="1">
      <c r="A727" s="706" t="s">
        <v>1148</v>
      </c>
      <c r="B727" s="706">
        <v>2025</v>
      </c>
      <c r="C727" s="706" t="s">
        <v>2711</v>
      </c>
      <c r="D727" s="706" t="s">
        <v>2712</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G62800</v>
      </c>
      <c r="AK727" s="905" t="str">
        <f t="shared" si="73"/>
        <v>COÛTANT BUICK ENCLAVE</v>
      </c>
      <c r="AL727" s="905">
        <f>IFERROR(INDEX(G727:R727,1,MATCH(Parametres!$B$3,G$1:R$1,0)-1)*IF(OR(F727="L",F727="S",F727="I"),-1,1),"")</f>
        <v>126187.8</v>
      </c>
      <c r="AM727" s="905">
        <f t="shared" si="68"/>
        <v>72396.2</v>
      </c>
      <c r="AN727" s="905">
        <f>INDEX(G727:R727,1,MATCH(Parametres!$B$3,G$1:R$1,0))*IF(OR(F727="L",F727="S",F727="I"),-1,1)</f>
        <v>198584</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69"/>
        <v>G62800</v>
      </c>
      <c r="AU727" s="488" t="str">
        <f t="shared" si="70"/>
        <v>COÛTANT BUICK ENCLAVE</v>
      </c>
      <c r="AV727" s="899">
        <f>IFERROR(INDEX(V727:AG727,1,MATCH(Parametres!$B$3,V$1:AG$1,0)-1)*IF(OR(C727="L",C727="S",C727="I"),-1,1),"")</f>
        <v>0</v>
      </c>
      <c r="AW727" s="899">
        <f t="shared" si="71"/>
        <v>0</v>
      </c>
      <c r="AX727" s="899">
        <f>INDEX(V727:AG727,1,MATCH(Parametres!$B$3,V$1:AG$1,0))*IF(OR(C727="L",C727="S",C727="I"),-1,1)</f>
        <v>0</v>
      </c>
      <c r="AY727" s="487" t="s">
        <v>337</v>
      </c>
      <c r="AZ727" s="487">
        <f>+VLOOKUP($AJ727,Data_Validation!$A:$E,5,0)</f>
        <v>0</v>
      </c>
    </row>
    <row r="728" spans="1:52" ht="15" hidden="1" customHeight="1">
      <c r="A728" s="706" t="s">
        <v>1148</v>
      </c>
      <c r="B728" s="706">
        <v>2025</v>
      </c>
      <c r="C728" s="706" t="s">
        <v>2713</v>
      </c>
      <c r="D728" s="706" t="s">
        <v>2714</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905" t="str">
        <f t="shared" si="72"/>
        <v>G62804</v>
      </c>
      <c r="AK728" s="905" t="str">
        <f t="shared" si="73"/>
        <v>COUT BUICK ENCORE</v>
      </c>
      <c r="AL728" s="905">
        <f>IFERROR(INDEX(G728:R728,1,MATCH(Parametres!$B$3,G$1:R$1,0)-1)*IF(OR(F728="L",F728="S",F728="I"),-1,1),"")</f>
        <v>214914.46</v>
      </c>
      <c r="AM728" s="905">
        <f t="shared" si="68"/>
        <v>0</v>
      </c>
      <c r="AN728" s="905">
        <f>INDEX(G728:R728,1,MATCH(Parametres!$B$3,G$1:R$1,0))*IF(OR(F728="L",F728="S",F728="I"),-1,1)</f>
        <v>214914.46</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69"/>
        <v>G62804</v>
      </c>
      <c r="AU728" s="488" t="str">
        <f t="shared" si="70"/>
        <v>COUT BUICK ENCORE</v>
      </c>
      <c r="AV728" s="899">
        <f>IFERROR(INDEX(V728:AG728,1,MATCH(Parametres!$B$3,V$1:AG$1,0)-1)*IF(OR(C728="L",C728="S",C728="I"),-1,1),"")</f>
        <v>0</v>
      </c>
      <c r="AW728" s="899">
        <f t="shared" si="71"/>
        <v>0</v>
      </c>
      <c r="AX728" s="899">
        <f>INDEX(V728:AG728,1,MATCH(Parametres!$B$3,V$1:AG$1,0))*IF(OR(C728="L",C728="S",C728="I"),-1,1)</f>
        <v>0</v>
      </c>
      <c r="AY728" s="487" t="s">
        <v>337</v>
      </c>
      <c r="AZ728" s="487">
        <f>+VLOOKUP($AJ728,Data_Validation!$A:$E,5,0)</f>
        <v>0</v>
      </c>
    </row>
    <row r="729" spans="1:52" ht="15" customHeight="1">
      <c r="A729" s="706" t="s">
        <v>1148</v>
      </c>
      <c r="B729" s="706">
        <v>2025</v>
      </c>
      <c r="C729" s="706" t="s">
        <v>2715</v>
      </c>
      <c r="D729" s="706" t="s">
        <v>2716</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905" t="str">
        <f t="shared" si="72"/>
        <v>G62820</v>
      </c>
      <c r="AK729" s="905" t="str">
        <f t="shared" si="73"/>
        <v>COUT-TRAIL BALZER    -LOC</v>
      </c>
      <c r="AL729" s="905">
        <f>IFERROR(INDEX(G729:R729,1,MATCH(Parametres!$B$3,G$1:R$1,0)-1)*IF(OR(F729="L",F729="S",F729="I"),-1,1),"")</f>
        <v>0</v>
      </c>
      <c r="AM729" s="905">
        <f t="shared" si="68"/>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69"/>
        <v>G62820</v>
      </c>
      <c r="AU729" s="488" t="str">
        <f t="shared" si="70"/>
        <v>COUT-TRAIL BALZER    -LOC</v>
      </c>
      <c r="AV729" s="899">
        <f>IFERROR(INDEX(V729:AG729,1,MATCH(Parametres!$B$3,V$1:AG$1,0)-1)*IF(OR(C729="L",C729="S",C729="I"),-1,1),"")</f>
        <v>0</v>
      </c>
      <c r="AW729" s="899">
        <f t="shared" si="71"/>
        <v>0</v>
      </c>
      <c r="AX729" s="899">
        <f>INDEX(V729:AG729,1,MATCH(Parametres!$B$3,V$1:AG$1,0))*IF(OR(C729="L",C729="S",C729="I"),-1,1)</f>
        <v>0</v>
      </c>
      <c r="AY729" s="487" t="s">
        <v>337</v>
      </c>
      <c r="AZ729" s="487" t="e">
        <f>+VLOOKUP($AJ729,Data_Validation!$A:$E,5,0)</f>
        <v>#N/A</v>
      </c>
    </row>
    <row r="730" spans="1:52" ht="15" hidden="1" customHeight="1">
      <c r="A730" s="706" t="s">
        <v>1148</v>
      </c>
      <c r="B730" s="706">
        <v>2025</v>
      </c>
      <c r="C730" s="706" t="s">
        <v>2717</v>
      </c>
      <c r="D730" s="706" t="s">
        <v>2718</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G62850</v>
      </c>
      <c r="AK730" s="905" t="str">
        <f t="shared" si="73"/>
        <v>COUTANT CHEVROLET TRAX</v>
      </c>
      <c r="AL730" s="905">
        <f>IFERROR(INDEX(G730:R730,1,MATCH(Parametres!$B$3,G$1:R$1,0)-1)*IF(OR(F730="L",F730="S",F730="I"),-1,1),"")</f>
        <v>1226274.25</v>
      </c>
      <c r="AM730" s="905">
        <f t="shared" si="68"/>
        <v>283112.92999999993</v>
      </c>
      <c r="AN730" s="905">
        <f>INDEX(G730:R730,1,MATCH(Parametres!$B$3,G$1:R$1,0))*IF(OR(F730="L",F730="S",F730="I"),-1,1)</f>
        <v>1509387.18</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69"/>
        <v>G62850</v>
      </c>
      <c r="AU730" s="488" t="str">
        <f t="shared" si="70"/>
        <v>COUTANT CHEVROLET TRAX</v>
      </c>
      <c r="AV730" s="899">
        <f>IFERROR(INDEX(V730:AG730,1,MATCH(Parametres!$B$3,V$1:AG$1,0)-1)*IF(OR(C730="L",C730="S",C730="I"),-1,1),"")</f>
        <v>0</v>
      </c>
      <c r="AW730" s="899">
        <f t="shared" si="71"/>
        <v>0</v>
      </c>
      <c r="AX730" s="899">
        <f>INDEX(V730:AG730,1,MATCH(Parametres!$B$3,V$1:AG$1,0))*IF(OR(C730="L",C730="S",C730="I"),-1,1)</f>
        <v>0</v>
      </c>
      <c r="AY730" s="487" t="s">
        <v>337</v>
      </c>
      <c r="AZ730" s="487">
        <f>+VLOOKUP($AJ730,Data_Validation!$A:$E,5,0)</f>
        <v>0</v>
      </c>
    </row>
    <row r="731" spans="1:52" ht="15" hidden="1" customHeight="1">
      <c r="A731" s="706" t="s">
        <v>1148</v>
      </c>
      <c r="B731" s="706">
        <v>2025</v>
      </c>
      <c r="C731" s="706" t="s">
        <v>2719</v>
      </c>
      <c r="D731" s="706" t="s">
        <v>2720</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G62900</v>
      </c>
      <c r="AK731" s="905" t="str">
        <f t="shared" si="73"/>
        <v>COUT-TAHOE/SUBURBAN</v>
      </c>
      <c r="AL731" s="905">
        <f>IFERROR(INDEX(G731:R731,1,MATCH(Parametres!$B$3,G$1:R$1,0)-1)*IF(OR(F731="L",F731="S",F731="I"),-1,1),"")</f>
        <v>1543069.36</v>
      </c>
      <c r="AM731" s="905">
        <f t="shared" si="68"/>
        <v>274483.54999999981</v>
      </c>
      <c r="AN731" s="905">
        <f>INDEX(G731:R731,1,MATCH(Parametres!$B$3,G$1:R$1,0))*IF(OR(F731="L",F731="S",F731="I"),-1,1)</f>
        <v>1817552.91</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69"/>
        <v>G62900</v>
      </c>
      <c r="AU731" s="488" t="str">
        <f t="shared" si="70"/>
        <v>COUT-TAHOE/SUBURBAN</v>
      </c>
      <c r="AV731" s="899">
        <f>IFERROR(INDEX(V731:AG731,1,MATCH(Parametres!$B$3,V$1:AG$1,0)-1)*IF(OR(C731="L",C731="S",C731="I"),-1,1),"")</f>
        <v>0</v>
      </c>
      <c r="AW731" s="899">
        <f t="shared" si="71"/>
        <v>0</v>
      </c>
      <c r="AX731" s="899">
        <f>INDEX(V731:AG731,1,MATCH(Parametres!$B$3,V$1:AG$1,0))*IF(OR(C731="L",C731="S",C731="I"),-1,1)</f>
        <v>0</v>
      </c>
      <c r="AY731" s="487" t="s">
        <v>337</v>
      </c>
      <c r="AZ731" s="487">
        <f>+VLOOKUP($AJ731,Data_Validation!$A:$E,5,0)</f>
        <v>0</v>
      </c>
    </row>
    <row r="732" spans="1:52" ht="15" hidden="1" customHeight="1">
      <c r="A732" s="706" t="s">
        <v>1148</v>
      </c>
      <c r="B732" s="706">
        <v>2025</v>
      </c>
      <c r="C732" s="706" t="s">
        <v>2721</v>
      </c>
      <c r="D732" s="706" t="s">
        <v>2722</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905" t="str">
        <f t="shared" si="72"/>
        <v>G63000</v>
      </c>
      <c r="AK732" s="905" t="str">
        <f t="shared" si="73"/>
        <v>COUT-CL 1500 SILVERADO</v>
      </c>
      <c r="AL732" s="905">
        <f>IFERROR(INDEX(G732:R732,1,MATCH(Parametres!$B$3,G$1:R$1,0)-1)*IF(OR(F732="L",F732="S",F732="I"),-1,1),"")</f>
        <v>6899826.4199999999</v>
      </c>
      <c r="AM732" s="905">
        <f t="shared" si="68"/>
        <v>352838.98000000045</v>
      </c>
      <c r="AN732" s="905">
        <f>INDEX(G732:R732,1,MATCH(Parametres!$B$3,G$1:R$1,0))*IF(OR(F732="L",F732="S",F732="I"),-1,1)</f>
        <v>7252665.4000000004</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69"/>
        <v>G63000</v>
      </c>
      <c r="AU732" s="488" t="str">
        <f t="shared" si="70"/>
        <v>COUT-CL 1500 SILVERADO</v>
      </c>
      <c r="AV732" s="899">
        <f>IFERROR(INDEX(V732:AG732,1,MATCH(Parametres!$B$3,V$1:AG$1,0)-1)*IF(OR(C732="L",C732="S",C732="I"),-1,1),"")</f>
        <v>0</v>
      </c>
      <c r="AW732" s="899">
        <f t="shared" si="71"/>
        <v>0</v>
      </c>
      <c r="AX732" s="899">
        <f>INDEX(V732:AG732,1,MATCH(Parametres!$B$3,V$1:AG$1,0))*IF(OR(C732="L",C732="S",C732="I"),-1,1)</f>
        <v>0</v>
      </c>
      <c r="AY732" s="487" t="s">
        <v>337</v>
      </c>
      <c r="AZ732" s="487">
        <f>+VLOOKUP($AJ732,Data_Validation!$A:$E,5,0)</f>
        <v>0</v>
      </c>
    </row>
    <row r="733" spans="1:52" ht="15" hidden="1" customHeight="1">
      <c r="A733" s="706" t="s">
        <v>1148</v>
      </c>
      <c r="B733" s="706">
        <v>2025</v>
      </c>
      <c r="C733" s="706" t="s">
        <v>2723</v>
      </c>
      <c r="D733" s="706" t="s">
        <v>2724</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905" t="str">
        <f t="shared" si="72"/>
        <v>G63001</v>
      </c>
      <c r="AK733" s="905" t="str">
        <f t="shared" si="73"/>
        <v>COUT - SILVERADO EV</v>
      </c>
      <c r="AL733" s="905">
        <f>IFERROR(INDEX(G733:R733,1,MATCH(Parametres!$B$3,G$1:R$1,0)-1)*IF(OR(F733="L",F733="S",F733="I"),-1,1),"")</f>
        <v>512599.45</v>
      </c>
      <c r="AM733" s="905">
        <f t="shared" si="68"/>
        <v>219436.60000000003</v>
      </c>
      <c r="AN733" s="905">
        <f>INDEX(G733:R733,1,MATCH(Parametres!$B$3,G$1:R$1,0))*IF(OR(F733="L",F733="S",F733="I"),-1,1)</f>
        <v>732036.05</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69"/>
        <v>G63001</v>
      </c>
      <c r="AU733" s="488" t="str">
        <f t="shared" si="70"/>
        <v>COUT - SILVERADO EV</v>
      </c>
      <c r="AV733" s="899">
        <f>IFERROR(INDEX(V733:AG733,1,MATCH(Parametres!$B$3,V$1:AG$1,0)-1)*IF(OR(C733="L",C733="S",C733="I"),-1,1),"")</f>
        <v>0</v>
      </c>
      <c r="AW733" s="899">
        <f t="shared" si="71"/>
        <v>0</v>
      </c>
      <c r="AX733" s="899">
        <f>INDEX(V733:AG733,1,MATCH(Parametres!$B$3,V$1:AG$1,0))*IF(OR(C733="L",C733="S",C733="I"),-1,1)</f>
        <v>0</v>
      </c>
      <c r="AY733" s="487" t="s">
        <v>337</v>
      </c>
      <c r="AZ733" s="487">
        <f>+VLOOKUP($AJ733,Data_Validation!$A:$E,5,0)</f>
        <v>0</v>
      </c>
    </row>
    <row r="734" spans="1:52" ht="15" hidden="1" customHeight="1">
      <c r="A734" s="706" t="s">
        <v>1148</v>
      </c>
      <c r="B734" s="706">
        <v>2025</v>
      </c>
      <c r="C734" s="706" t="s">
        <v>2725</v>
      </c>
      <c r="D734" s="706" t="s">
        <v>2726</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G63002</v>
      </c>
      <c r="AK734" s="905" t="str">
        <f t="shared" si="73"/>
        <v>COUT - YUKON</v>
      </c>
      <c r="AL734" s="905">
        <f>IFERROR(INDEX(G734:R734,1,MATCH(Parametres!$B$3,G$1:R$1,0)-1)*IF(OR(F734="L",F734="S",F734="I"),-1,1),"")</f>
        <v>1788693.64</v>
      </c>
      <c r="AM734" s="905">
        <f t="shared" si="68"/>
        <v>405809.83000000031</v>
      </c>
      <c r="AN734" s="905">
        <f>INDEX(G734:R734,1,MATCH(Parametres!$B$3,G$1:R$1,0))*IF(OR(F734="L",F734="S",F734="I"),-1,1)</f>
        <v>2194503.4700000002</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69"/>
        <v>G63002</v>
      </c>
      <c r="AU734" s="488" t="str">
        <f t="shared" si="70"/>
        <v>COUT - YUKON</v>
      </c>
      <c r="AV734" s="899">
        <f>IFERROR(INDEX(V734:AG734,1,MATCH(Parametres!$B$3,V$1:AG$1,0)-1)*IF(OR(C734="L",C734="S",C734="I"),-1,1),"")</f>
        <v>0</v>
      </c>
      <c r="AW734" s="899">
        <f t="shared" si="71"/>
        <v>0</v>
      </c>
      <c r="AX734" s="899">
        <f>INDEX(V734:AG734,1,MATCH(Parametres!$B$3,V$1:AG$1,0))*IF(OR(C734="L",C734="S",C734="I"),-1,1)</f>
        <v>0</v>
      </c>
      <c r="AY734" s="487" t="s">
        <v>337</v>
      </c>
      <c r="AZ734" s="487">
        <f>+VLOOKUP($AJ734,Data_Validation!$A:$E,5,0)</f>
        <v>0</v>
      </c>
    </row>
    <row r="735" spans="1:52" ht="15" customHeight="1">
      <c r="A735" s="706" t="s">
        <v>1148</v>
      </c>
      <c r="B735" s="706">
        <v>2025</v>
      </c>
      <c r="C735" s="706" t="s">
        <v>2727</v>
      </c>
      <c r="D735" s="706" t="s">
        <v>2728</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905" t="str">
        <f t="shared" si="72"/>
        <v>G63020</v>
      </c>
      <c r="AK735" s="905" t="str">
        <f t="shared" si="73"/>
        <v>COUT-CL 1500 SILVERAD-LOC</v>
      </c>
      <c r="AL735" s="905">
        <f>IFERROR(INDEX(G735:R735,1,MATCH(Parametres!$B$3,G$1:R$1,0)-1)*IF(OR(F735="L",F735="S",F735="I"),-1,1),"")</f>
        <v>0</v>
      </c>
      <c r="AM735" s="905">
        <f t="shared" si="68"/>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69"/>
        <v>G63020</v>
      </c>
      <c r="AU735" s="488" t="str">
        <f t="shared" si="70"/>
        <v>COUT-CL 1500 SILVERAD-LOC</v>
      </c>
      <c r="AV735" s="899">
        <f>IFERROR(INDEX(V735:AG735,1,MATCH(Parametres!$B$3,V$1:AG$1,0)-1)*IF(OR(C735="L",C735="S",C735="I"),-1,1),"")</f>
        <v>0</v>
      </c>
      <c r="AW735" s="899">
        <f t="shared" si="71"/>
        <v>0</v>
      </c>
      <c r="AX735" s="899">
        <f>INDEX(V735:AG735,1,MATCH(Parametres!$B$3,V$1:AG$1,0))*IF(OR(C735="L",C735="S",C735="I"),-1,1)</f>
        <v>0</v>
      </c>
      <c r="AY735" s="487" t="s">
        <v>337</v>
      </c>
      <c r="AZ735" s="487" t="e">
        <f>+VLOOKUP($AJ735,Data_Validation!$A:$E,5,0)</f>
        <v>#N/A</v>
      </c>
    </row>
    <row r="736" spans="1:52" ht="15" hidden="1" customHeight="1">
      <c r="A736" s="706" t="s">
        <v>1148</v>
      </c>
      <c r="B736" s="706">
        <v>2025</v>
      </c>
      <c r="C736" s="706" t="s">
        <v>2729</v>
      </c>
      <c r="D736" s="706" t="s">
        <v>2730</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G63100</v>
      </c>
      <c r="AK736" s="905" t="str">
        <f t="shared" si="73"/>
        <v>COUT-CL 2500 SILVERADO</v>
      </c>
      <c r="AL736" s="905">
        <f>IFERROR(INDEX(G736:R736,1,MATCH(Parametres!$B$3,G$1:R$1,0)-1)*IF(OR(F736="L",F736="S",F736="I"),-1,1),"")</f>
        <v>2676534.9300000002</v>
      </c>
      <c r="AM736" s="905">
        <f t="shared" si="68"/>
        <v>93739</v>
      </c>
      <c r="AN736" s="905">
        <f>INDEX(G736:R736,1,MATCH(Parametres!$B$3,G$1:R$1,0))*IF(OR(F736="L",F736="S",F736="I"),-1,1)</f>
        <v>2770273.93</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69"/>
        <v>G63100</v>
      </c>
      <c r="AU736" s="488" t="str">
        <f t="shared" si="70"/>
        <v>COUT-CL 2500 SILVERADO</v>
      </c>
      <c r="AV736" s="899">
        <f>IFERROR(INDEX(V736:AG736,1,MATCH(Parametres!$B$3,V$1:AG$1,0)-1)*IF(OR(C736="L",C736="S",C736="I"),-1,1),"")</f>
        <v>0</v>
      </c>
      <c r="AW736" s="899">
        <f t="shared" si="71"/>
        <v>0</v>
      </c>
      <c r="AX736" s="899">
        <f>INDEX(V736:AG736,1,MATCH(Parametres!$B$3,V$1:AG$1,0))*IF(OR(C736="L",C736="S",C736="I"),-1,1)</f>
        <v>0</v>
      </c>
      <c r="AY736" s="487" t="s">
        <v>337</v>
      </c>
      <c r="AZ736" s="487">
        <f>+VLOOKUP($AJ736,Data_Validation!$A:$E,5,0)</f>
        <v>0</v>
      </c>
    </row>
    <row r="737" spans="1:52" ht="15" hidden="1" customHeight="1">
      <c r="A737" s="706" t="s">
        <v>1148</v>
      </c>
      <c r="B737" s="706">
        <v>2025</v>
      </c>
      <c r="C737" s="706" t="s">
        <v>2731</v>
      </c>
      <c r="D737" s="706" t="s">
        <v>2732</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G63102</v>
      </c>
      <c r="AK737" s="905" t="str">
        <f t="shared" si="73"/>
        <v>COUTANT CL 1500 SIERRA</v>
      </c>
      <c r="AL737" s="905">
        <f>IFERROR(INDEX(G737:R737,1,MATCH(Parametres!$B$3,G$1:R$1,0)-1)*IF(OR(F737="L",F737="S",F737="I"),-1,1),"")</f>
        <v>5844437.0499999998</v>
      </c>
      <c r="AM737" s="905">
        <f t="shared" si="68"/>
        <v>626751.50999999978</v>
      </c>
      <c r="AN737" s="905">
        <f>INDEX(G737:R737,1,MATCH(Parametres!$B$3,G$1:R$1,0))*IF(OR(F737="L",F737="S",F737="I"),-1,1)</f>
        <v>6471188.5599999996</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69"/>
        <v>G63102</v>
      </c>
      <c r="AU737" s="488" t="str">
        <f t="shared" si="70"/>
        <v>COUTANT CL 1500 SIERRA</v>
      </c>
      <c r="AV737" s="899">
        <f>IFERROR(INDEX(V737:AG737,1,MATCH(Parametres!$B$3,V$1:AG$1,0)-1)*IF(OR(C737="L",C737="S",C737="I"),-1,1),"")</f>
        <v>0</v>
      </c>
      <c r="AW737" s="899">
        <f t="shared" si="71"/>
        <v>0</v>
      </c>
      <c r="AX737" s="899">
        <f>INDEX(V737:AG737,1,MATCH(Parametres!$B$3,V$1:AG$1,0))*IF(OR(C737="L",C737="S",C737="I"),-1,1)</f>
        <v>0</v>
      </c>
      <c r="AY737" s="487" t="s">
        <v>337</v>
      </c>
      <c r="AZ737" s="487">
        <f>+VLOOKUP($AJ737,Data_Validation!$A:$E,5,0)</f>
        <v>0</v>
      </c>
    </row>
    <row r="738" spans="1:52" ht="15" hidden="1" customHeight="1">
      <c r="A738" s="706" t="s">
        <v>1148</v>
      </c>
      <c r="B738" s="706">
        <v>2025</v>
      </c>
      <c r="C738" s="706" t="s">
        <v>2733</v>
      </c>
      <c r="D738" s="706" t="s">
        <v>2734</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G63103</v>
      </c>
      <c r="AK738" s="905" t="str">
        <f t="shared" si="73"/>
        <v>COUT - SIERRA EV</v>
      </c>
      <c r="AL738" s="905">
        <f>IFERROR(INDEX(G738:R738,1,MATCH(Parametres!$B$3,G$1:R$1,0)-1)*IF(OR(F738="L",F738="S",F738="I"),-1,1),"")</f>
        <v>1189987.79</v>
      </c>
      <c r="AM738" s="905">
        <f t="shared" si="68"/>
        <v>108428.54000000004</v>
      </c>
      <c r="AN738" s="905">
        <f>INDEX(G738:R738,1,MATCH(Parametres!$B$3,G$1:R$1,0))*IF(OR(F738="L",F738="S",F738="I"),-1,1)</f>
        <v>1298416.33</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69"/>
        <v>G63103</v>
      </c>
      <c r="AU738" s="488" t="str">
        <f t="shared" si="70"/>
        <v>COUT - SIERRA EV</v>
      </c>
      <c r="AV738" s="899">
        <f>IFERROR(INDEX(V738:AG738,1,MATCH(Parametres!$B$3,V$1:AG$1,0)-1)*IF(OR(C738="L",C738="S",C738="I"),-1,1),"")</f>
        <v>0</v>
      </c>
      <c r="AW738" s="899">
        <f t="shared" si="71"/>
        <v>0</v>
      </c>
      <c r="AX738" s="899">
        <f>INDEX(V738:AG738,1,MATCH(Parametres!$B$3,V$1:AG$1,0))*IF(OR(C738="L",C738="S",C738="I"),-1,1)</f>
        <v>0</v>
      </c>
      <c r="AY738" s="487" t="s">
        <v>337</v>
      </c>
      <c r="AZ738" s="487">
        <f>+VLOOKUP($AJ738,Data_Validation!$A:$E,5,0)</f>
        <v>0</v>
      </c>
    </row>
    <row r="739" spans="1:52" ht="15" customHeight="1">
      <c r="A739" s="706" t="s">
        <v>1148</v>
      </c>
      <c r="B739" s="706">
        <v>2025</v>
      </c>
      <c r="C739" s="706" t="s">
        <v>2735</v>
      </c>
      <c r="D739" s="706" t="s">
        <v>2736</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G63120</v>
      </c>
      <c r="AK739" s="905" t="str">
        <f t="shared" si="73"/>
        <v>COUT-CL 2500 SILVERAD-LOC</v>
      </c>
      <c r="AL739" s="905">
        <f>IFERROR(INDEX(G739:R739,1,MATCH(Parametres!$B$3,G$1:R$1,0)-1)*IF(OR(F739="L",F739="S",F739="I"),-1,1),"")</f>
        <v>0</v>
      </c>
      <c r="AM739" s="905">
        <f t="shared" si="68"/>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G63120</v>
      </c>
      <c r="AU739" s="488" t="str">
        <f t="shared" si="70"/>
        <v>COUT-CL 2500 SILVERAD-LOC</v>
      </c>
      <c r="AV739" s="899">
        <f>IFERROR(INDEX(V739:AG739,1,MATCH(Parametres!$B$3,V$1:AG$1,0)-1)*IF(OR(C739="L",C739="S",C739="I"),-1,1),"")</f>
        <v>0</v>
      </c>
      <c r="AW739" s="899">
        <f t="shared" si="71"/>
        <v>0</v>
      </c>
      <c r="AX739" s="899">
        <f>INDEX(V739:AG739,1,MATCH(Parametres!$B$3,V$1:AG$1,0))*IF(OR(C739="L",C739="S",C739="I"),-1,1)</f>
        <v>0</v>
      </c>
      <c r="AY739" s="487" t="s">
        <v>337</v>
      </c>
      <c r="AZ739" s="487" t="e">
        <f>+VLOOKUP($AJ739,Data_Validation!$A:$E,5,0)</f>
        <v>#N/A</v>
      </c>
    </row>
    <row r="740" spans="1:52" ht="15" hidden="1" customHeight="1">
      <c r="A740" s="706" t="s">
        <v>1148</v>
      </c>
      <c r="B740" s="706">
        <v>2025</v>
      </c>
      <c r="C740" s="706" t="s">
        <v>2737</v>
      </c>
      <c r="D740" s="706" t="s">
        <v>2738</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G63200</v>
      </c>
      <c r="AK740" s="905" t="str">
        <f t="shared" si="73"/>
        <v>COUT-CL 3500 SILVERADO</v>
      </c>
      <c r="AL740" s="905">
        <f>IFERROR(INDEX(G740:R740,1,MATCH(Parametres!$B$3,G$1:R$1,0)-1)*IF(OR(F740="L",F740="S",F740="I"),-1,1),"")</f>
        <v>88039.46</v>
      </c>
      <c r="AM740" s="905">
        <f t="shared" si="68"/>
        <v>0</v>
      </c>
      <c r="AN740" s="905">
        <f>INDEX(G740:R740,1,MATCH(Parametres!$B$3,G$1:R$1,0))*IF(OR(F740="L",F740="S",F740="I"),-1,1)</f>
        <v>88039.46</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69"/>
        <v>G63200</v>
      </c>
      <c r="AU740" s="488" t="str">
        <f t="shared" si="70"/>
        <v>COUT-CL 3500 SILVERADO</v>
      </c>
      <c r="AV740" s="899">
        <f>IFERROR(INDEX(V740:AG740,1,MATCH(Parametres!$B$3,V$1:AG$1,0)-1)*IF(OR(C740="L",C740="S",C740="I"),-1,1),"")</f>
        <v>0</v>
      </c>
      <c r="AW740" s="899">
        <f t="shared" si="71"/>
        <v>0</v>
      </c>
      <c r="AX740" s="899">
        <f>INDEX(V740:AG740,1,MATCH(Parametres!$B$3,V$1:AG$1,0))*IF(OR(C740="L",C740="S",C740="I"),-1,1)</f>
        <v>0</v>
      </c>
      <c r="AY740" s="487" t="s">
        <v>337</v>
      </c>
      <c r="AZ740" s="487">
        <f>+VLOOKUP($AJ740,Data_Validation!$A:$E,5,0)</f>
        <v>0</v>
      </c>
    </row>
    <row r="741" spans="1:52" ht="15" hidden="1" customHeight="1">
      <c r="A741" s="706" t="s">
        <v>1148</v>
      </c>
      <c r="B741" s="706">
        <v>2025</v>
      </c>
      <c r="C741" s="706" t="s">
        <v>2739</v>
      </c>
      <c r="D741" s="706" t="s">
        <v>2740</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G63202</v>
      </c>
      <c r="AK741" s="905" t="str">
        <f t="shared" si="73"/>
        <v>COUT- CL 2500 SIERRA</v>
      </c>
      <c r="AL741" s="905">
        <f>IFERROR(INDEX(G741:R741,1,MATCH(Parametres!$B$3,G$1:R$1,0)-1)*IF(OR(F741="L",F741="S",F741="I"),-1,1),"")</f>
        <v>3676835.23</v>
      </c>
      <c r="AM741" s="905">
        <f t="shared" si="68"/>
        <v>439322.83999999985</v>
      </c>
      <c r="AN741" s="905">
        <f>INDEX(G741:R741,1,MATCH(Parametres!$B$3,G$1:R$1,0))*IF(OR(F741="L",F741="S",F741="I"),-1,1)</f>
        <v>4116158.07</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69"/>
        <v>G63202</v>
      </c>
      <c r="AU741" s="488" t="str">
        <f t="shared" si="70"/>
        <v>COUT- CL 2500 SIERRA</v>
      </c>
      <c r="AV741" s="899">
        <f>IFERROR(INDEX(V741:AG741,1,MATCH(Parametres!$B$3,V$1:AG$1,0)-1)*IF(OR(C741="L",C741="S",C741="I"),-1,1),"")</f>
        <v>0</v>
      </c>
      <c r="AW741" s="899">
        <f t="shared" si="71"/>
        <v>0</v>
      </c>
      <c r="AX741" s="899">
        <f>INDEX(V741:AG741,1,MATCH(Parametres!$B$3,V$1:AG$1,0))*IF(OR(C741="L",C741="S",C741="I"),-1,1)</f>
        <v>0</v>
      </c>
      <c r="AY741" s="487" t="s">
        <v>337</v>
      </c>
      <c r="AZ741" s="487">
        <f>+VLOOKUP($AJ741,Data_Validation!$A:$E,5,0)</f>
        <v>0</v>
      </c>
    </row>
    <row r="742" spans="1:52" ht="15" hidden="1" customHeight="1">
      <c r="A742" s="706" t="s">
        <v>1148</v>
      </c>
      <c r="B742" s="706">
        <v>2025</v>
      </c>
      <c r="C742" s="706" t="s">
        <v>2741</v>
      </c>
      <c r="D742" s="706" t="s">
        <v>2742</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G63203</v>
      </c>
      <c r="AK742" s="905" t="str">
        <f t="shared" si="73"/>
        <v>COUTANT - SIERRA 3500</v>
      </c>
      <c r="AL742" s="905">
        <f>IFERROR(INDEX(G742:R742,1,MATCH(Parametres!$B$3,G$1:R$1,0)-1)*IF(OR(F742="L",F742="S",F742="I"),-1,1),"")</f>
        <v>0</v>
      </c>
      <c r="AM742" s="905">
        <f t="shared" si="68"/>
        <v>0</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69"/>
        <v>G63203</v>
      </c>
      <c r="AU742" s="488" t="str">
        <f t="shared" si="70"/>
        <v>COUTANT - SIERRA 3500</v>
      </c>
      <c r="AV742" s="899">
        <f>IFERROR(INDEX(V742:AG742,1,MATCH(Parametres!$B$3,V$1:AG$1,0)-1)*IF(OR(C742="L",C742="S",C742="I"),-1,1),"")</f>
        <v>0</v>
      </c>
      <c r="AW742" s="899">
        <f t="shared" si="71"/>
        <v>0</v>
      </c>
      <c r="AX742" s="899">
        <f>INDEX(V742:AG742,1,MATCH(Parametres!$B$3,V$1:AG$1,0))*IF(OR(C742="L",C742="S",C742="I"),-1,1)</f>
        <v>0</v>
      </c>
      <c r="AY742" s="487" t="s">
        <v>337</v>
      </c>
      <c r="AZ742" s="487">
        <f>+VLOOKUP($AJ742,Data_Validation!$A:$E,5,0)</f>
        <v>0</v>
      </c>
    </row>
    <row r="743" spans="1:52" ht="15" hidden="1" customHeight="1">
      <c r="A743" s="706" t="s">
        <v>1148</v>
      </c>
      <c r="B743" s="706">
        <v>2025</v>
      </c>
      <c r="C743" s="706" t="s">
        <v>2743</v>
      </c>
      <c r="D743" s="706" t="s">
        <v>2744</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G63300</v>
      </c>
      <c r="AK743" s="905" t="str">
        <f t="shared" si="73"/>
        <v>COUT-BLAZER</v>
      </c>
      <c r="AL743" s="905">
        <f>IFERROR(INDEX(G743:R743,1,MATCH(Parametres!$B$3,G$1:R$1,0)-1)*IF(OR(F743="L",F743="S",F743="I"),-1,1),"")</f>
        <v>0</v>
      </c>
      <c r="AM743" s="905">
        <f t="shared" si="68"/>
        <v>0</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69"/>
        <v>G63300</v>
      </c>
      <c r="AU743" s="488" t="str">
        <f t="shared" si="70"/>
        <v>COUT-BLAZER</v>
      </c>
      <c r="AV743" s="899">
        <f>IFERROR(INDEX(V743:AG743,1,MATCH(Parametres!$B$3,V$1:AG$1,0)-1)*IF(OR(C743="L",C743="S",C743="I"),-1,1),"")</f>
        <v>0</v>
      </c>
      <c r="AW743" s="899">
        <f t="shared" si="71"/>
        <v>0</v>
      </c>
      <c r="AX743" s="899">
        <f>INDEX(V743:AG743,1,MATCH(Parametres!$B$3,V$1:AG$1,0))*IF(OR(C743="L",C743="S",C743="I"),-1,1)</f>
        <v>0</v>
      </c>
      <c r="AY743" s="487" t="s">
        <v>337</v>
      </c>
      <c r="AZ743" s="487">
        <f>+VLOOKUP($AJ743,Data_Validation!$A:$E,5,0)</f>
        <v>0</v>
      </c>
    </row>
    <row r="744" spans="1:52" ht="15" hidden="1" customHeight="1">
      <c r="A744" s="706" t="s">
        <v>1148</v>
      </c>
      <c r="B744" s="706">
        <v>2025</v>
      </c>
      <c r="C744" s="706" t="s">
        <v>2745</v>
      </c>
      <c r="D744" s="706" t="s">
        <v>2746</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G63301</v>
      </c>
      <c r="AK744" s="905" t="str">
        <f t="shared" si="73"/>
        <v>COUT-BLAZER EV</v>
      </c>
      <c r="AL744" s="905">
        <f>IFERROR(INDEX(G744:R744,1,MATCH(Parametres!$B$3,G$1:R$1,0)-1)*IF(OR(F744="L",F744="S",F744="I"),-1,1),"")</f>
        <v>567964.37</v>
      </c>
      <c r="AM744" s="905">
        <f t="shared" si="68"/>
        <v>59418.030000000028</v>
      </c>
      <c r="AN744" s="905">
        <f>INDEX(G744:R744,1,MATCH(Parametres!$B$3,G$1:R$1,0))*IF(OR(F744="L",F744="S",F744="I"),-1,1)</f>
        <v>627382.4</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69"/>
        <v>G63301</v>
      </c>
      <c r="AU744" s="488" t="str">
        <f t="shared" si="70"/>
        <v>COUT-BLAZER EV</v>
      </c>
      <c r="AV744" s="899">
        <f>IFERROR(INDEX(V744:AG744,1,MATCH(Parametres!$B$3,V$1:AG$1,0)-1)*IF(OR(C744="L",C744="S",C744="I"),-1,1),"")</f>
        <v>0</v>
      </c>
      <c r="AW744" s="899">
        <f t="shared" si="71"/>
        <v>0</v>
      </c>
      <c r="AX744" s="899">
        <f>INDEX(V744:AG744,1,MATCH(Parametres!$B$3,V$1:AG$1,0))*IF(OR(C744="L",C744="S",C744="I"),-1,1)</f>
        <v>0</v>
      </c>
      <c r="AY744" s="487" t="s">
        <v>337</v>
      </c>
      <c r="AZ744" s="487">
        <f>+VLOOKUP($AJ744,Data_Validation!$A:$E,5,0)</f>
        <v>0</v>
      </c>
    </row>
    <row r="745" spans="1:52" ht="15" customHeight="1">
      <c r="A745" s="706" t="s">
        <v>1148</v>
      </c>
      <c r="B745" s="706">
        <v>2025</v>
      </c>
      <c r="C745" s="706" t="s">
        <v>2747</v>
      </c>
      <c r="D745" s="706" t="s">
        <v>2748</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G63320</v>
      </c>
      <c r="AK745" s="905" t="str">
        <f t="shared" si="73"/>
        <v>COUT-CL 3500 SILVERAD-LOC</v>
      </c>
      <c r="AL745" s="905">
        <f>IFERROR(INDEX(G745:R745,1,MATCH(Parametres!$B$3,G$1:R$1,0)-1)*IF(OR(F745="L",F745="S",F745="I"),-1,1),"")</f>
        <v>0</v>
      </c>
      <c r="AM745" s="905">
        <f t="shared" si="68"/>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G63320</v>
      </c>
      <c r="AU745" s="488" t="str">
        <f t="shared" si="70"/>
        <v>COUT-CL 3500 SILVERAD-LOC</v>
      </c>
      <c r="AV745" s="899">
        <f>IFERROR(INDEX(V745:AG745,1,MATCH(Parametres!$B$3,V$1:AG$1,0)-1)*IF(OR(C745="L",C745="S",C745="I"),-1,1),"")</f>
        <v>0</v>
      </c>
      <c r="AW745" s="899">
        <f t="shared" si="71"/>
        <v>0</v>
      </c>
      <c r="AX745" s="899">
        <f>INDEX(V745:AG745,1,MATCH(Parametres!$B$3,V$1:AG$1,0))*IF(OR(C745="L",C745="S",C745="I"),-1,1)</f>
        <v>0</v>
      </c>
      <c r="AY745" s="487" t="s">
        <v>337</v>
      </c>
      <c r="AZ745" s="487" t="e">
        <f>+VLOOKUP($AJ745,Data_Validation!$A:$E,5,0)</f>
        <v>#N/A</v>
      </c>
    </row>
    <row r="746" spans="1:52" ht="15" hidden="1" customHeight="1">
      <c r="A746" s="706" t="s">
        <v>1148</v>
      </c>
      <c r="B746" s="706">
        <v>2025</v>
      </c>
      <c r="C746" s="706" t="s">
        <v>2749</v>
      </c>
      <c r="D746" s="706" t="s">
        <v>2750</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G63400</v>
      </c>
      <c r="AK746" s="905" t="str">
        <f t="shared" si="73"/>
        <v>COUTANT EQUINOX</v>
      </c>
      <c r="AL746" s="905">
        <f>IFERROR(INDEX(G746:R746,1,MATCH(Parametres!$B$3,G$1:R$1,0)-1)*IF(OR(F746="L",F746="S",F746="I"),-1,1),"")</f>
        <v>636151.05000000005</v>
      </c>
      <c r="AM746" s="905">
        <f t="shared" si="68"/>
        <v>341295.82999999996</v>
      </c>
      <c r="AN746" s="905">
        <f>INDEX(G746:R746,1,MATCH(Parametres!$B$3,G$1:R$1,0))*IF(OR(F746="L",F746="S",F746="I"),-1,1)</f>
        <v>977446.88</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69"/>
        <v>G63400</v>
      </c>
      <c r="AU746" s="488" t="str">
        <f t="shared" si="70"/>
        <v>COUTANT EQUINOX</v>
      </c>
      <c r="AV746" s="899">
        <f>IFERROR(INDEX(V746:AG746,1,MATCH(Parametres!$B$3,V$1:AG$1,0)-1)*IF(OR(C746="L",C746="S",C746="I"),-1,1),"")</f>
        <v>0</v>
      </c>
      <c r="AW746" s="899">
        <f t="shared" si="71"/>
        <v>0</v>
      </c>
      <c r="AX746" s="899">
        <f>INDEX(V746:AG746,1,MATCH(Parametres!$B$3,V$1:AG$1,0))*IF(OR(C746="L",C746="S",C746="I"),-1,1)</f>
        <v>0</v>
      </c>
      <c r="AY746" s="487" t="s">
        <v>337</v>
      </c>
      <c r="AZ746" s="487">
        <f>+VLOOKUP($AJ746,Data_Validation!$A:$E,5,0)</f>
        <v>0</v>
      </c>
    </row>
    <row r="747" spans="1:52" ht="15" hidden="1" customHeight="1">
      <c r="A747" s="706" t="s">
        <v>1148</v>
      </c>
      <c r="B747" s="706">
        <v>2025</v>
      </c>
      <c r="C747" s="706" t="s">
        <v>2751</v>
      </c>
      <c r="D747" s="706" t="s">
        <v>2752</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G63401</v>
      </c>
      <c r="AK747" s="905" t="str">
        <f t="shared" si="73"/>
        <v>COUT - EQUINOX EV</v>
      </c>
      <c r="AL747" s="905">
        <f>IFERROR(INDEX(G747:R747,1,MATCH(Parametres!$B$3,G$1:R$1,0)-1)*IF(OR(F747="L",F747="S",F747="I"),-1,1),"")</f>
        <v>6459596.79</v>
      </c>
      <c r="AM747" s="905">
        <f t="shared" si="68"/>
        <v>393050.96999999974</v>
      </c>
      <c r="AN747" s="905">
        <f>INDEX(G747:R747,1,MATCH(Parametres!$B$3,G$1:R$1,0))*IF(OR(F747="L",F747="S",F747="I"),-1,1)</f>
        <v>6852647.7599999998</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69"/>
        <v>G63401</v>
      </c>
      <c r="AU747" s="488" t="str">
        <f t="shared" si="70"/>
        <v>COUT - EQUINOX EV</v>
      </c>
      <c r="AV747" s="899">
        <f>IFERROR(INDEX(V747:AG747,1,MATCH(Parametres!$B$3,V$1:AG$1,0)-1)*IF(OR(C747="L",C747="S",C747="I"),-1,1),"")</f>
        <v>0</v>
      </c>
      <c r="AW747" s="899">
        <f t="shared" si="71"/>
        <v>0</v>
      </c>
      <c r="AX747" s="899">
        <f>INDEX(V747:AG747,1,MATCH(Parametres!$B$3,V$1:AG$1,0))*IF(OR(C747="L",C747="S",C747="I"),-1,1)</f>
        <v>0</v>
      </c>
      <c r="AY747" s="487" t="s">
        <v>337</v>
      </c>
      <c r="AZ747" s="487">
        <f>+VLOOKUP($AJ747,Data_Validation!$A:$E,5,0)</f>
        <v>0</v>
      </c>
    </row>
    <row r="748" spans="1:52" ht="15" customHeight="1">
      <c r="A748" s="706" t="s">
        <v>1148</v>
      </c>
      <c r="B748" s="706">
        <v>2025</v>
      </c>
      <c r="C748" s="706" t="s">
        <v>2753</v>
      </c>
      <c r="D748" s="706" t="s">
        <v>2754</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G63420</v>
      </c>
      <c r="AK748" s="905" t="str">
        <f t="shared" si="73"/>
        <v>COUT-TRACKER         -LOC</v>
      </c>
      <c r="AL748" s="905">
        <f>IFERROR(INDEX(G748:R748,1,MATCH(Parametres!$B$3,G$1:R$1,0)-1)*IF(OR(F748="L",F748="S",F748="I"),-1,1),"")</f>
        <v>0</v>
      </c>
      <c r="AM748" s="905">
        <f t="shared" si="68"/>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69"/>
        <v>G63420</v>
      </c>
      <c r="AU748" s="488" t="str">
        <f t="shared" si="70"/>
        <v>COUT-TRACKER         -LOC</v>
      </c>
      <c r="AV748" s="899">
        <f>IFERROR(INDEX(V748:AG748,1,MATCH(Parametres!$B$3,V$1:AG$1,0)-1)*IF(OR(C748="L",C748="S",C748="I"),-1,1),"")</f>
        <v>0</v>
      </c>
      <c r="AW748" s="899">
        <f t="shared" si="71"/>
        <v>0</v>
      </c>
      <c r="AX748" s="899">
        <f>INDEX(V748:AG748,1,MATCH(Parametres!$B$3,V$1:AG$1,0))*IF(OR(C748="L",C748="S",C748="I"),-1,1)</f>
        <v>0</v>
      </c>
      <c r="AY748" s="487" t="s">
        <v>337</v>
      </c>
      <c r="AZ748" s="487" t="e">
        <f>+VLOOKUP($AJ748,Data_Validation!$A:$E,5,0)</f>
        <v>#N/A</v>
      </c>
    </row>
    <row r="749" spans="1:52" ht="15" hidden="1" customHeight="1">
      <c r="A749" s="706" t="s">
        <v>1148</v>
      </c>
      <c r="B749" s="706">
        <v>2025</v>
      </c>
      <c r="C749" s="706" t="s">
        <v>2755</v>
      </c>
      <c r="D749" s="706" t="s">
        <v>2756</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G63500</v>
      </c>
      <c r="AK749" s="905" t="str">
        <f t="shared" si="73"/>
        <v>COUT CHEV CITY</v>
      </c>
      <c r="AL749" s="905">
        <f>IFERROR(INDEX(G749:R749,1,MATCH(Parametres!$B$3,G$1:R$1,0)-1)*IF(OR(F749="L",F749="S",F749="I"),-1,1),"")</f>
        <v>0</v>
      </c>
      <c r="AM749" s="905">
        <f t="shared" si="68"/>
        <v>0</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69"/>
        <v>G63500</v>
      </c>
      <c r="AU749" s="488" t="str">
        <f t="shared" si="70"/>
        <v>COUT CHEV CITY</v>
      </c>
      <c r="AV749" s="899">
        <f>IFERROR(INDEX(V749:AG749,1,MATCH(Parametres!$B$3,V$1:AG$1,0)-1)*IF(OR(C749="L",C749="S",C749="I"),-1,1),"")</f>
        <v>0</v>
      </c>
      <c r="AW749" s="899">
        <f t="shared" si="71"/>
        <v>0</v>
      </c>
      <c r="AX749" s="899">
        <f>INDEX(V749:AG749,1,MATCH(Parametres!$B$3,V$1:AG$1,0))*IF(OR(C749="L",C749="S",C749="I"),-1,1)</f>
        <v>0</v>
      </c>
      <c r="AY749" s="487" t="s">
        <v>337</v>
      </c>
      <c r="AZ749" s="487">
        <f>+VLOOKUP($AJ749,Data_Validation!$A:$E,5,0)</f>
        <v>0</v>
      </c>
    </row>
    <row r="750" spans="1:52" ht="15" hidden="1" customHeight="1">
      <c r="A750" s="706" t="s">
        <v>1148</v>
      </c>
      <c r="B750" s="706">
        <v>2025</v>
      </c>
      <c r="C750" s="706" t="s">
        <v>2757</v>
      </c>
      <c r="D750" s="706" t="s">
        <v>2758</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G63501</v>
      </c>
      <c r="AK750" s="905" t="str">
        <f t="shared" si="73"/>
        <v>COUT - HUMMER EV SUV</v>
      </c>
      <c r="AL750" s="905">
        <f>IFERROR(INDEX(G750:R750,1,MATCH(Parametres!$B$3,G$1:R$1,0)-1)*IF(OR(F750="L",F750="S",F750="I"),-1,1),"")</f>
        <v>697860.09</v>
      </c>
      <c r="AM750" s="905">
        <f t="shared" si="68"/>
        <v>0</v>
      </c>
      <c r="AN750" s="905">
        <f>INDEX(G750:R750,1,MATCH(Parametres!$B$3,G$1:R$1,0))*IF(OR(F750="L",F750="S",F750="I"),-1,1)</f>
        <v>697860.09</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69"/>
        <v>G63501</v>
      </c>
      <c r="AU750" s="488" t="str">
        <f t="shared" si="70"/>
        <v>COUT - HUMMER EV SUV</v>
      </c>
      <c r="AV750" s="899">
        <f>IFERROR(INDEX(V750:AG750,1,MATCH(Parametres!$B$3,V$1:AG$1,0)-1)*IF(OR(C750="L",C750="S",C750="I"),-1,1),"")</f>
        <v>0</v>
      </c>
      <c r="AW750" s="899">
        <f t="shared" si="71"/>
        <v>0</v>
      </c>
      <c r="AX750" s="899">
        <f>INDEX(V750:AG750,1,MATCH(Parametres!$B$3,V$1:AG$1,0))*IF(OR(C750="L",C750="S",C750="I"),-1,1)</f>
        <v>0</v>
      </c>
      <c r="AY750" s="487" t="s">
        <v>337</v>
      </c>
      <c r="AZ750" s="487">
        <f>+VLOOKUP($AJ750,Data_Validation!$A:$E,5,0)</f>
        <v>0</v>
      </c>
    </row>
    <row r="751" spans="1:52" ht="15" customHeight="1">
      <c r="A751" s="706" t="s">
        <v>1148</v>
      </c>
      <c r="B751" s="706">
        <v>2025</v>
      </c>
      <c r="C751" s="706" t="s">
        <v>2759</v>
      </c>
      <c r="D751" s="706" t="s">
        <v>2760</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G63520</v>
      </c>
      <c r="AK751" s="905" t="str">
        <f t="shared" si="73"/>
        <v>COUT-SSR             -LOC</v>
      </c>
      <c r="AL751" s="905">
        <f>IFERROR(INDEX(G751:R751,1,MATCH(Parametres!$B$3,G$1:R$1,0)-1)*IF(OR(F751="L",F751="S",F751="I"),-1,1),"")</f>
        <v>0</v>
      </c>
      <c r="AM751" s="905">
        <f t="shared" si="68"/>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69"/>
        <v>G63520</v>
      </c>
      <c r="AU751" s="488" t="str">
        <f t="shared" si="70"/>
        <v>COUT-SSR             -LOC</v>
      </c>
      <c r="AV751" s="899">
        <f>IFERROR(INDEX(V751:AG751,1,MATCH(Parametres!$B$3,V$1:AG$1,0)-1)*IF(OR(C751="L",C751="S",C751="I"),-1,1),"")</f>
        <v>0</v>
      </c>
      <c r="AW751" s="899">
        <f t="shared" si="71"/>
        <v>0</v>
      </c>
      <c r="AX751" s="899">
        <f>INDEX(V751:AG751,1,MATCH(Parametres!$B$3,V$1:AG$1,0))*IF(OR(C751="L",C751="S",C751="I"),-1,1)</f>
        <v>0</v>
      </c>
      <c r="AY751" s="487" t="s">
        <v>337</v>
      </c>
      <c r="AZ751" s="487" t="e">
        <f>+VLOOKUP($AJ751,Data_Validation!$A:$E,5,0)</f>
        <v>#N/A</v>
      </c>
    </row>
    <row r="752" spans="1:52" ht="15" hidden="1" customHeight="1">
      <c r="A752" s="706" t="s">
        <v>1148</v>
      </c>
      <c r="B752" s="706">
        <v>2025</v>
      </c>
      <c r="C752" s="706" t="s">
        <v>2761</v>
      </c>
      <c r="D752" s="706" t="s">
        <v>2762</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G63600</v>
      </c>
      <c r="AK752" s="905" t="str">
        <f t="shared" si="73"/>
        <v>COUT-TRAIL BLAZER</v>
      </c>
      <c r="AL752" s="905">
        <f>IFERROR(INDEX(G752:R752,1,MATCH(Parametres!$B$3,G$1:R$1,0)-1)*IF(OR(F752="L",F752="S",F752="I"),-1,1),"")</f>
        <v>388795.46</v>
      </c>
      <c r="AM752" s="905">
        <f t="shared" si="68"/>
        <v>70565.849999999977</v>
      </c>
      <c r="AN752" s="905">
        <f>INDEX(G752:R752,1,MATCH(Parametres!$B$3,G$1:R$1,0))*IF(OR(F752="L",F752="S",F752="I"),-1,1)</f>
        <v>459361.31</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69"/>
        <v>G63600</v>
      </c>
      <c r="AU752" s="488" t="str">
        <f t="shared" si="70"/>
        <v>COUT-TRAIL BLAZER</v>
      </c>
      <c r="AV752" s="899">
        <f>IFERROR(INDEX(V752:AG752,1,MATCH(Parametres!$B$3,V$1:AG$1,0)-1)*IF(OR(C752="L",C752="S",C752="I"),-1,1),"")</f>
        <v>0</v>
      </c>
      <c r="AW752" s="899">
        <f t="shared" si="71"/>
        <v>0</v>
      </c>
      <c r="AX752" s="899">
        <f>INDEX(V752:AG752,1,MATCH(Parametres!$B$3,V$1:AG$1,0))*IF(OR(C752="L",C752="S",C752="I"),-1,1)</f>
        <v>0</v>
      </c>
      <c r="AY752" s="487" t="s">
        <v>337</v>
      </c>
      <c r="AZ752" s="487">
        <f>+VLOOKUP($AJ752,Data_Validation!$A:$E,5,0)</f>
        <v>0</v>
      </c>
    </row>
    <row r="753" spans="1:52" ht="15" hidden="1" customHeight="1">
      <c r="A753" s="706" t="s">
        <v>1148</v>
      </c>
      <c r="B753" s="706">
        <v>2025</v>
      </c>
      <c r="C753" s="706" t="s">
        <v>2763</v>
      </c>
      <c r="D753" s="706" t="s">
        <v>2764</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G63602</v>
      </c>
      <c r="AK753" s="905" t="str">
        <f t="shared" si="73"/>
        <v>COÛT- GMC  ACADIA</v>
      </c>
      <c r="AL753" s="905">
        <f>IFERROR(INDEX(G753:R753,1,MATCH(Parametres!$B$3,G$1:R$1,0)-1)*IF(OR(F753="L",F753="S",F753="I"),-1,1),"")</f>
        <v>299560.5</v>
      </c>
      <c r="AM753" s="905">
        <f t="shared" si="68"/>
        <v>0</v>
      </c>
      <c r="AN753" s="905">
        <f>INDEX(G753:R753,1,MATCH(Parametres!$B$3,G$1:R$1,0))*IF(OR(F753="L",F753="S",F753="I"),-1,1)</f>
        <v>299560.5</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69"/>
        <v>G63602</v>
      </c>
      <c r="AU753" s="488" t="str">
        <f t="shared" si="70"/>
        <v>COÛT- GMC  ACADIA</v>
      </c>
      <c r="AV753" s="899">
        <f>IFERROR(INDEX(V753:AG753,1,MATCH(Parametres!$B$3,V$1:AG$1,0)-1)*IF(OR(C753="L",C753="S",C753="I"),-1,1),"")</f>
        <v>0</v>
      </c>
      <c r="AW753" s="899">
        <f t="shared" si="71"/>
        <v>0</v>
      </c>
      <c r="AX753" s="899">
        <f>INDEX(V753:AG753,1,MATCH(Parametres!$B$3,V$1:AG$1,0))*IF(OR(C753="L",C753="S",C753="I"),-1,1)</f>
        <v>0</v>
      </c>
      <c r="AY753" s="487" t="s">
        <v>337</v>
      </c>
      <c r="AZ753" s="487">
        <f>+VLOOKUP($AJ753,Data_Validation!$A:$E,5,0)</f>
        <v>0</v>
      </c>
    </row>
    <row r="754" spans="1:52" ht="15" customHeight="1">
      <c r="A754" s="706" t="s">
        <v>1148</v>
      </c>
      <c r="B754" s="706">
        <v>2025</v>
      </c>
      <c r="C754" s="706" t="s">
        <v>2765</v>
      </c>
      <c r="D754" s="706" t="s">
        <v>2766</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G63800</v>
      </c>
      <c r="AK754" s="905" t="str">
        <f t="shared" si="73"/>
        <v>COUT-CHEV CAMION AUTRE</v>
      </c>
      <c r="AL754" s="905">
        <f>IFERROR(INDEX(G754:R754,1,MATCH(Parametres!$B$3,G$1:R$1,0)-1)*IF(OR(F754="L",F754="S",F754="I"),-1,1),"")</f>
        <v>0</v>
      </c>
      <c r="AM754" s="905">
        <f t="shared" si="68"/>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G63800</v>
      </c>
      <c r="AU754" s="488" t="str">
        <f t="shared" si="70"/>
        <v>COUT-CHEV CAMION AUTRE</v>
      </c>
      <c r="AV754" s="899">
        <f>IFERROR(INDEX(V754:AG754,1,MATCH(Parametres!$B$3,V$1:AG$1,0)-1)*IF(OR(C754="L",C754="S",C754="I"),-1,1),"")</f>
        <v>0</v>
      </c>
      <c r="AW754" s="899">
        <f t="shared" si="71"/>
        <v>0</v>
      </c>
      <c r="AX754" s="899">
        <f>INDEX(V754:AG754,1,MATCH(Parametres!$B$3,V$1:AG$1,0))*IF(OR(C754="L",C754="S",C754="I"),-1,1)</f>
        <v>0</v>
      </c>
      <c r="AY754" s="487" t="s">
        <v>337</v>
      </c>
      <c r="AZ754" s="487" t="e">
        <f>+VLOOKUP($AJ754,Data_Validation!$A:$E,5,0)</f>
        <v>#N/A</v>
      </c>
    </row>
    <row r="755" spans="1:52" ht="15" customHeight="1">
      <c r="A755" s="706" t="s">
        <v>1148</v>
      </c>
      <c r="B755" s="706">
        <v>2025</v>
      </c>
      <c r="C755" s="706" t="s">
        <v>2767</v>
      </c>
      <c r="D755" s="706" t="s">
        <v>2768</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G63820</v>
      </c>
      <c r="AK755" s="905" t="str">
        <f t="shared" si="73"/>
        <v>COUT-CHEV CAMION AUTR-LOC</v>
      </c>
      <c r="AL755" s="905">
        <f>IFERROR(INDEX(G755:R755,1,MATCH(Parametres!$B$3,G$1:R$1,0)-1)*IF(OR(F755="L",F755="S",F755="I"),-1,1),"")</f>
        <v>0</v>
      </c>
      <c r="AM755" s="905">
        <f t="shared" si="68"/>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G63820</v>
      </c>
      <c r="AU755" s="488" t="str">
        <f t="shared" si="70"/>
        <v>COUT-CHEV CAMION AUTR-LOC</v>
      </c>
      <c r="AV755" s="899">
        <f>IFERROR(INDEX(V755:AG755,1,MATCH(Parametres!$B$3,V$1:AG$1,0)-1)*IF(OR(C755="L",C755="S",C755="I"),-1,1),"")</f>
        <v>0</v>
      </c>
      <c r="AW755" s="899">
        <f t="shared" si="71"/>
        <v>0</v>
      </c>
      <c r="AX755" s="899">
        <f>INDEX(V755:AG755,1,MATCH(Parametres!$B$3,V$1:AG$1,0))*IF(OR(C755="L",C755="S",C755="I"),-1,1)</f>
        <v>0</v>
      </c>
      <c r="AY755" s="487" t="s">
        <v>337</v>
      </c>
      <c r="AZ755" s="487" t="e">
        <f>+VLOOKUP($AJ755,Data_Validation!$A:$E,5,0)</f>
        <v>#N/A</v>
      </c>
    </row>
    <row r="756" spans="1:52" ht="15" hidden="1" customHeight="1">
      <c r="A756" s="706" t="s">
        <v>1148</v>
      </c>
      <c r="B756" s="706">
        <v>2025</v>
      </c>
      <c r="C756" s="706" t="s">
        <v>2769</v>
      </c>
      <c r="D756" s="706" t="s">
        <v>2770</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G64000</v>
      </c>
      <c r="AK756" s="905" t="str">
        <f t="shared" si="73"/>
        <v>COÛTANT PARC CAMIONS</v>
      </c>
      <c r="AL756" s="905">
        <f>IFERROR(INDEX(G756:R756,1,MATCH(Parametres!$B$3,G$1:R$1,0)-1)*IF(OR(F756="L",F756="S",F756="I"),-1,1),"")</f>
        <v>71348241.409999996</v>
      </c>
      <c r="AM756" s="905">
        <f t="shared" si="68"/>
        <v>9419412.4200000018</v>
      </c>
      <c r="AN756" s="905">
        <f>INDEX(G756:R756,1,MATCH(Parametres!$B$3,G$1:R$1,0))*IF(OR(F756="L",F756="S",F756="I"),-1,1)</f>
        <v>80767653.829999998</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69"/>
        <v>G64000</v>
      </c>
      <c r="AU756" s="488" t="str">
        <f t="shared" si="70"/>
        <v>COÛTANT PARC CAMIONS</v>
      </c>
      <c r="AV756" s="899">
        <f>IFERROR(INDEX(V756:AG756,1,MATCH(Parametres!$B$3,V$1:AG$1,0)-1)*IF(OR(C756="L",C756="S",C756="I"),-1,1),"")</f>
        <v>0</v>
      </c>
      <c r="AW756" s="899">
        <f t="shared" si="71"/>
        <v>0</v>
      </c>
      <c r="AX756" s="899">
        <f>INDEX(V756:AG756,1,MATCH(Parametres!$B$3,V$1:AG$1,0))*IF(OR(C756="L",C756="S",C756="I"),-1,1)</f>
        <v>0</v>
      </c>
      <c r="AY756" s="487" t="s">
        <v>337</v>
      </c>
      <c r="AZ756" s="487">
        <f>+VLOOKUP($AJ756,Data_Validation!$A:$E,5,0)</f>
        <v>0</v>
      </c>
    </row>
    <row r="757" spans="1:52" ht="15" hidden="1" customHeight="1">
      <c r="A757" s="706" t="s">
        <v>1148</v>
      </c>
      <c r="B757" s="706">
        <v>2025</v>
      </c>
      <c r="C757" s="706" t="s">
        <v>2771</v>
      </c>
      <c r="D757" s="706" t="s">
        <v>2772</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G64100</v>
      </c>
      <c r="AK757" s="905" t="str">
        <f t="shared" si="73"/>
        <v>COUT-CAMIONS INTERNE</v>
      </c>
      <c r="AL757" s="905">
        <f>IFERROR(INDEX(G757:R757,1,MATCH(Parametres!$B$3,G$1:R$1,0)-1)*IF(OR(F757="L",F757="S",F757="I"),-1,1),"")</f>
        <v>0</v>
      </c>
      <c r="AM757" s="905">
        <f t="shared" si="68"/>
        <v>0</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69"/>
        <v>G64100</v>
      </c>
      <c r="AU757" s="488" t="str">
        <f t="shared" si="70"/>
        <v>COUT-CAMIONS INTERNE</v>
      </c>
      <c r="AV757" s="899">
        <f>IFERROR(INDEX(V757:AG757,1,MATCH(Parametres!$B$3,V$1:AG$1,0)-1)*IF(OR(C757="L",C757="S",C757="I"),-1,1),"")</f>
        <v>0</v>
      </c>
      <c r="AW757" s="899">
        <f t="shared" si="71"/>
        <v>0</v>
      </c>
      <c r="AX757" s="899">
        <f>INDEX(V757:AG757,1,MATCH(Parametres!$B$3,V$1:AG$1,0))*IF(OR(C757="L",C757="S",C757="I"),-1,1)</f>
        <v>0</v>
      </c>
      <c r="AY757" s="487" t="s">
        <v>337</v>
      </c>
      <c r="AZ757" s="487">
        <f>+VLOOKUP($AJ757,Data_Validation!$A:$E,5,0)</f>
        <v>0</v>
      </c>
    </row>
    <row r="758" spans="1:52" ht="15" hidden="1" customHeight="1">
      <c r="A758" s="706" t="s">
        <v>1148</v>
      </c>
      <c r="B758" s="706">
        <v>2025</v>
      </c>
      <c r="C758" s="706" t="s">
        <v>2773</v>
      </c>
      <c r="D758" s="706" t="s">
        <v>2774</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G64300</v>
      </c>
      <c r="AK758" s="905" t="str">
        <f t="shared" si="73"/>
        <v>COUT-PLAN PROTECTION</v>
      </c>
      <c r="AL758" s="905">
        <f>IFERROR(INDEX(G758:R758,1,MATCH(Parametres!$B$3,G$1:R$1,0)-1)*IF(OR(F758="L",F758="S",F758="I"),-1,1),"")</f>
        <v>398046.11</v>
      </c>
      <c r="AM758" s="905">
        <f t="shared" si="68"/>
        <v>42947.700000000012</v>
      </c>
      <c r="AN758" s="905">
        <f>INDEX(G758:R758,1,MATCH(Parametres!$B$3,G$1:R$1,0))*IF(OR(F758="L",F758="S",F758="I"),-1,1)</f>
        <v>440993.81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69"/>
        <v>G64300</v>
      </c>
      <c r="AU758" s="488" t="str">
        <f t="shared" si="70"/>
        <v>COUT-PLAN PROTECTION</v>
      </c>
      <c r="AV758" s="899">
        <f>IFERROR(INDEX(V758:AG758,1,MATCH(Parametres!$B$3,V$1:AG$1,0)-1)*IF(OR(C758="L",C758="S",C758="I"),-1,1),"")</f>
        <v>0</v>
      </c>
      <c r="AW758" s="899">
        <f t="shared" si="71"/>
        <v>0</v>
      </c>
      <c r="AX758" s="899">
        <f>INDEX(V758:AG758,1,MATCH(Parametres!$B$3,V$1:AG$1,0))*IF(OR(C758="L",C758="S",C758="I"),-1,1)</f>
        <v>0</v>
      </c>
      <c r="AY758" s="487" t="s">
        <v>337</v>
      </c>
      <c r="AZ758" s="487">
        <f>+VLOOKUP($AJ758,Data_Validation!$A:$E,5,0)</f>
        <v>0</v>
      </c>
    </row>
    <row r="759" spans="1:52" ht="15" hidden="1" customHeight="1">
      <c r="A759" s="706" t="s">
        <v>1148</v>
      </c>
      <c r="B759" s="706">
        <v>2025</v>
      </c>
      <c r="C759" s="706" t="s">
        <v>2775</v>
      </c>
      <c r="D759" s="706" t="s">
        <v>2776</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G64400</v>
      </c>
      <c r="AK759" s="905" t="str">
        <f t="shared" si="73"/>
        <v>COÛTANT PROTECTION PLUS</v>
      </c>
      <c r="AL759" s="905">
        <f>IFERROR(INDEX(G759:R759,1,MATCH(Parametres!$B$3,G$1:R$1,0)-1)*IF(OR(F759="L",F759="S",F759="I"),-1,1),"")</f>
        <v>0</v>
      </c>
      <c r="AM759" s="905">
        <f t="shared" si="68"/>
        <v>0</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69"/>
        <v>G64400</v>
      </c>
      <c r="AU759" s="488" t="str">
        <f t="shared" si="70"/>
        <v>COÛTANT PROTECTION PLUS</v>
      </c>
      <c r="AV759" s="899">
        <f>IFERROR(INDEX(V759:AG759,1,MATCH(Parametres!$B$3,V$1:AG$1,0)-1)*IF(OR(C759="L",C759="S",C759="I"),-1,1),"")</f>
        <v>0</v>
      </c>
      <c r="AW759" s="899">
        <f t="shared" si="71"/>
        <v>0</v>
      </c>
      <c r="AX759" s="899">
        <f>INDEX(V759:AG759,1,MATCH(Parametres!$B$3,V$1:AG$1,0))*IF(OR(C759="L",C759="S",C759="I"),-1,1)</f>
        <v>0</v>
      </c>
      <c r="AY759" s="487" t="s">
        <v>337</v>
      </c>
      <c r="AZ759" s="487">
        <f>+VLOOKUP($AJ759,Data_Validation!$A:$E,5,0)</f>
        <v>0</v>
      </c>
    </row>
    <row r="760" spans="1:52" ht="15" hidden="1" customHeight="1">
      <c r="A760" s="706" t="s">
        <v>1148</v>
      </c>
      <c r="B760" s="706">
        <v>2025</v>
      </c>
      <c r="C760" s="706" t="s">
        <v>2777</v>
      </c>
      <c r="D760" s="706" t="s">
        <v>2778</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G64501</v>
      </c>
      <c r="AK760" s="905" t="str">
        <f t="shared" si="73"/>
        <v>COUT-ANTIROUILLE</v>
      </c>
      <c r="AL760" s="905">
        <f>IFERROR(INDEX(G760:R760,1,MATCH(Parametres!$B$3,G$1:R$1,0)-1)*IF(OR(F760="L",F760="S",F760="I"),-1,1),"")</f>
        <v>618.29999999999995</v>
      </c>
      <c r="AM760" s="905">
        <f t="shared" si="68"/>
        <v>-83.599999999999909</v>
      </c>
      <c r="AN760" s="905">
        <f>INDEX(G760:R760,1,MATCH(Parametres!$B$3,G$1:R$1,0))*IF(OR(F760="L",F760="S",F760="I"),-1,1)</f>
        <v>534.70000000000005</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69"/>
        <v>G64501</v>
      </c>
      <c r="AU760" s="488" t="str">
        <f t="shared" si="70"/>
        <v>COUT-ANTIROUILLE</v>
      </c>
      <c r="AV760" s="899">
        <f>IFERROR(INDEX(V760:AG760,1,MATCH(Parametres!$B$3,V$1:AG$1,0)-1)*IF(OR(C760="L",C760="S",C760="I"),-1,1),"")</f>
        <v>0</v>
      </c>
      <c r="AW760" s="899">
        <f t="shared" si="71"/>
        <v>0</v>
      </c>
      <c r="AX760" s="899">
        <f>INDEX(V760:AG760,1,MATCH(Parametres!$B$3,V$1:AG$1,0))*IF(OR(C760="L",C760="S",C760="I"),-1,1)</f>
        <v>0</v>
      </c>
      <c r="AY760" s="487" t="s">
        <v>337</v>
      </c>
      <c r="AZ760" s="487">
        <f>+VLOOKUP($AJ760,Data_Validation!$A:$E,5,0)</f>
        <v>0</v>
      </c>
    </row>
    <row r="761" spans="1:52" ht="15" hidden="1" customHeight="1">
      <c r="A761" s="706" t="s">
        <v>1148</v>
      </c>
      <c r="B761" s="706">
        <v>2025</v>
      </c>
      <c r="C761" s="706" t="s">
        <v>2779</v>
      </c>
      <c r="D761" s="706" t="s">
        <v>2387</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G64503</v>
      </c>
      <c r="AK761" s="905" t="str">
        <f t="shared" si="73"/>
        <v>V.TEINTÉE-PEINTURE-TISSUS</v>
      </c>
      <c r="AL761" s="905">
        <f>IFERROR(INDEX(G761:R761,1,MATCH(Parametres!$B$3,G$1:R$1,0)-1)*IF(OR(F761="L",F761="S",F761="I"),-1,1),"")</f>
        <v>21630.7</v>
      </c>
      <c r="AM761" s="905">
        <f t="shared" si="68"/>
        <v>1832.9799999999996</v>
      </c>
      <c r="AN761" s="905">
        <f>INDEX(G761:R761,1,MATCH(Parametres!$B$3,G$1:R$1,0))*IF(OR(F761="L",F761="S",F761="I"),-1,1)</f>
        <v>23463.68</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69"/>
        <v>G64503</v>
      </c>
      <c r="AU761" s="488" t="str">
        <f t="shared" si="70"/>
        <v>V.TEINTÉE-PEINTURE-TISSUS</v>
      </c>
      <c r="AV761" s="899">
        <f>IFERROR(INDEX(V761:AG761,1,MATCH(Parametres!$B$3,V$1:AG$1,0)-1)*IF(OR(C761="L",C761="S",C761="I"),-1,1),"")</f>
        <v>0</v>
      </c>
      <c r="AW761" s="899">
        <f t="shared" si="71"/>
        <v>0</v>
      </c>
      <c r="AX761" s="899">
        <f>INDEX(V761:AG761,1,MATCH(Parametres!$B$3,V$1:AG$1,0))*IF(OR(C761="L",C761="S",C761="I"),-1,1)</f>
        <v>0</v>
      </c>
      <c r="AY761" s="487" t="s">
        <v>337</v>
      </c>
      <c r="AZ761" s="487">
        <f>+VLOOKUP($AJ761,Data_Validation!$A:$E,5,0)</f>
        <v>0</v>
      </c>
    </row>
    <row r="762" spans="1:52" ht="15" hidden="1" customHeight="1">
      <c r="A762" s="706" t="s">
        <v>1148</v>
      </c>
      <c r="B762" s="706">
        <v>2025</v>
      </c>
      <c r="C762" s="706" t="s">
        <v>2780</v>
      </c>
      <c r="D762" s="706" t="s">
        <v>2781</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G64504</v>
      </c>
      <c r="AK762" s="905" t="str">
        <f t="shared" si="73"/>
        <v>COUT-VALEUR REMPLACEMENT</v>
      </c>
      <c r="AL762" s="905">
        <f>IFERROR(INDEX(G762:R762,1,MATCH(Parametres!$B$3,G$1:R$1,0)-1)*IF(OR(F762="L",F762="S",F762="I"),-1,1),"")</f>
        <v>53663.360000000001</v>
      </c>
      <c r="AM762" s="905">
        <f t="shared" si="68"/>
        <v>14980</v>
      </c>
      <c r="AN762" s="905">
        <f>INDEX(G762:R762,1,MATCH(Parametres!$B$3,G$1:R$1,0))*IF(OR(F762="L",F762="S",F762="I"),-1,1)</f>
        <v>68643.360000000001</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69"/>
        <v>G64504</v>
      </c>
      <c r="AU762" s="488" t="str">
        <f t="shared" si="70"/>
        <v>COUT-VALEUR REMPLACEMENT</v>
      </c>
      <c r="AV762" s="899">
        <f>IFERROR(INDEX(V762:AG762,1,MATCH(Parametres!$B$3,V$1:AG$1,0)-1)*IF(OR(C762="L",C762="S",C762="I"),-1,1),"")</f>
        <v>0</v>
      </c>
      <c r="AW762" s="899">
        <f t="shared" si="71"/>
        <v>0</v>
      </c>
      <c r="AX762" s="899">
        <f>INDEX(V762:AG762,1,MATCH(Parametres!$B$3,V$1:AG$1,0))*IF(OR(C762="L",C762="S",C762="I"),-1,1)</f>
        <v>0</v>
      </c>
      <c r="AY762" s="487" t="s">
        <v>337</v>
      </c>
      <c r="AZ762" s="487">
        <f>+VLOOKUP($AJ762,Data_Validation!$A:$E,5,0)</f>
        <v>0</v>
      </c>
    </row>
    <row r="763" spans="1:52" ht="15" hidden="1" customHeight="1">
      <c r="A763" s="706" t="s">
        <v>1148</v>
      </c>
      <c r="B763" s="706">
        <v>2025</v>
      </c>
      <c r="C763" s="706" t="s">
        <v>2782</v>
      </c>
      <c r="D763" s="706" t="s">
        <v>2783</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G64505</v>
      </c>
      <c r="AK763" s="905" t="str">
        <f t="shared" si="73"/>
        <v>COUT-ANTIVOL ET TAG</v>
      </c>
      <c r="AL763" s="905">
        <f>IFERROR(INDEX(G763:R763,1,MATCH(Parametres!$B$3,G$1:R$1,0)-1)*IF(OR(F763="L",F763="S",F763="I"),-1,1),"")</f>
        <v>38329.96</v>
      </c>
      <c r="AM763" s="905">
        <f t="shared" si="68"/>
        <v>1320</v>
      </c>
      <c r="AN763" s="905">
        <f>INDEX(G763:R763,1,MATCH(Parametres!$B$3,G$1:R$1,0))*IF(OR(F763="L",F763="S",F763="I"),-1,1)</f>
        <v>39649.96</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69"/>
        <v>G64505</v>
      </c>
      <c r="AU763" s="488" t="str">
        <f t="shared" si="70"/>
        <v>COUT-ANTIVOL ET TAG</v>
      </c>
      <c r="AV763" s="899">
        <f>IFERROR(INDEX(V763:AG763,1,MATCH(Parametres!$B$3,V$1:AG$1,0)-1)*IF(OR(C763="L",C763="S",C763="I"),-1,1),"")</f>
        <v>0</v>
      </c>
      <c r="AW763" s="899">
        <f t="shared" si="71"/>
        <v>0</v>
      </c>
      <c r="AX763" s="899">
        <f>INDEX(V763:AG763,1,MATCH(Parametres!$B$3,V$1:AG$1,0))*IF(OR(C763="L",C763="S",C763="I"),-1,1)</f>
        <v>0</v>
      </c>
      <c r="AY763" s="487" t="s">
        <v>337</v>
      </c>
      <c r="AZ763" s="487">
        <f>+VLOOKUP($AJ763,Data_Validation!$A:$E,5,0)</f>
        <v>0</v>
      </c>
    </row>
    <row r="764" spans="1:52" ht="15" hidden="1" customHeight="1">
      <c r="A764" s="706" t="s">
        <v>1148</v>
      </c>
      <c r="B764" s="706">
        <v>2025</v>
      </c>
      <c r="C764" s="706" t="s">
        <v>2784</v>
      </c>
      <c r="D764" s="706" t="s">
        <v>2785</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G64600</v>
      </c>
      <c r="AK764" s="905" t="str">
        <f t="shared" si="73"/>
        <v>COUT-AUTO OCC.DET.OPTIMUM</v>
      </c>
      <c r="AL764" s="905">
        <f>IFERROR(INDEX(G764:R764,1,MATCH(Parametres!$B$3,G$1:R$1,0)-1)*IF(OR(F764="L",F764="S",F764="I"),-1,1),"")</f>
        <v>0</v>
      </c>
      <c r="AM764" s="905">
        <f t="shared" si="68"/>
        <v>0</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69"/>
        <v>G64600</v>
      </c>
      <c r="AU764" s="488" t="str">
        <f t="shared" si="70"/>
        <v>COUT-AUTO OCC.DET.OPTIMUM</v>
      </c>
      <c r="AV764" s="899">
        <f>IFERROR(INDEX(V764:AG764,1,MATCH(Parametres!$B$3,V$1:AG$1,0)-1)*IF(OR(C764="L",C764="S",C764="I"),-1,1),"")</f>
        <v>0</v>
      </c>
      <c r="AW764" s="899">
        <f t="shared" si="71"/>
        <v>0</v>
      </c>
      <c r="AX764" s="899">
        <f>INDEX(V764:AG764,1,MATCH(Parametres!$B$3,V$1:AG$1,0))*IF(OR(C764="L",C764="S",C764="I"),-1,1)</f>
        <v>0</v>
      </c>
      <c r="AY764" s="487" t="s">
        <v>337</v>
      </c>
      <c r="AZ764" s="487">
        <f>+VLOOKUP($AJ764,Data_Validation!$A:$E,5,0)</f>
        <v>0</v>
      </c>
    </row>
    <row r="765" spans="1:52" ht="15" hidden="1" customHeight="1">
      <c r="A765" s="706" t="s">
        <v>1148</v>
      </c>
      <c r="B765" s="706">
        <v>2025</v>
      </c>
      <c r="C765" s="706" t="s">
        <v>2786</v>
      </c>
      <c r="D765" s="706" t="s">
        <v>2787</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G64601</v>
      </c>
      <c r="AK765" s="905" t="str">
        <f t="shared" si="73"/>
        <v>COUT-AUTO OCC.DET.AUTRES</v>
      </c>
      <c r="AL765" s="905">
        <f>IFERROR(INDEX(G765:R765,1,MATCH(Parametres!$B$3,G$1:R$1,0)-1)*IF(OR(F765="L",F765="S",F765="I"),-1,1),"")</f>
        <v>865383.82</v>
      </c>
      <c r="AM765" s="905">
        <f t="shared" si="68"/>
        <v>51668.900000000023</v>
      </c>
      <c r="AN765" s="905">
        <f>INDEX(G765:R765,1,MATCH(Parametres!$B$3,G$1:R$1,0))*IF(OR(F765="L",F765="S",F765="I"),-1,1)</f>
        <v>917052.72</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69"/>
        <v>G64601</v>
      </c>
      <c r="AU765" s="488" t="str">
        <f t="shared" si="70"/>
        <v>COUT-AUTO OCC.DET.AUTRES</v>
      </c>
      <c r="AV765" s="899">
        <f>IFERROR(INDEX(V765:AG765,1,MATCH(Parametres!$B$3,V$1:AG$1,0)-1)*IF(OR(C765="L",C765="S",C765="I"),-1,1),"")</f>
        <v>0</v>
      </c>
      <c r="AW765" s="899">
        <f t="shared" si="71"/>
        <v>0</v>
      </c>
      <c r="AX765" s="899">
        <f>INDEX(V765:AG765,1,MATCH(Parametres!$B$3,V$1:AG$1,0))*IF(OR(C765="L",C765="S",C765="I"),-1,1)</f>
        <v>0</v>
      </c>
      <c r="AY765" s="487" t="s">
        <v>337</v>
      </c>
      <c r="AZ765" s="487">
        <f>+VLOOKUP($AJ765,Data_Validation!$A:$E,5,0)</f>
        <v>0</v>
      </c>
    </row>
    <row r="766" spans="1:52" ht="15" hidden="1" customHeight="1">
      <c r="A766" s="706" t="s">
        <v>1148</v>
      </c>
      <c r="B766" s="706">
        <v>2025</v>
      </c>
      <c r="C766" s="706" t="s">
        <v>2788</v>
      </c>
      <c r="D766" s="706" t="s">
        <v>2789</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G64620</v>
      </c>
      <c r="AK766" s="905" t="str">
        <f t="shared" si="73"/>
        <v>COUT-LOC.AUTO USAGE OPT.</v>
      </c>
      <c r="AL766" s="905">
        <f>IFERROR(INDEX(G766:R766,1,MATCH(Parametres!$B$3,G$1:R$1,0)-1)*IF(OR(F766="L",F766="S",F766="I"),-1,1),"")</f>
        <v>0</v>
      </c>
      <c r="AM766" s="905">
        <f t="shared" si="68"/>
        <v>0</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69"/>
        <v>G64620</v>
      </c>
      <c r="AU766" s="488" t="str">
        <f t="shared" si="70"/>
        <v>COUT-LOC.AUTO USAGE OPT.</v>
      </c>
      <c r="AV766" s="899">
        <f>IFERROR(INDEX(V766:AG766,1,MATCH(Parametres!$B$3,V$1:AG$1,0)-1)*IF(OR(C766="L",C766="S",C766="I"),-1,1),"")</f>
        <v>0</v>
      </c>
      <c r="AW766" s="899">
        <f t="shared" si="71"/>
        <v>0</v>
      </c>
      <c r="AX766" s="899">
        <f>INDEX(V766:AG766,1,MATCH(Parametres!$B$3,V$1:AG$1,0))*IF(OR(C766="L",C766="S",C766="I"),-1,1)</f>
        <v>0</v>
      </c>
      <c r="AY766" s="487" t="s">
        <v>337</v>
      </c>
      <c r="AZ766" s="487">
        <f>+VLOOKUP($AJ766,Data_Validation!$A:$E,5,0)</f>
        <v>0</v>
      </c>
    </row>
    <row r="767" spans="1:52" ht="15" customHeight="1">
      <c r="A767" s="706" t="s">
        <v>1148</v>
      </c>
      <c r="B767" s="706">
        <v>2025</v>
      </c>
      <c r="C767" s="706" t="s">
        <v>2790</v>
      </c>
      <c r="D767" s="706" t="s">
        <v>2791</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G64700</v>
      </c>
      <c r="AK767" s="905" t="str">
        <f t="shared" si="73"/>
        <v>REMISE NEUF VOIT.DET.OPT</v>
      </c>
      <c r="AL767" s="905">
        <f>IFERROR(INDEX(G767:R767,1,MATCH(Parametres!$B$3,G$1:R$1,0)-1)*IF(OR(F767="L",F767="S",F767="I"),-1,1),"")</f>
        <v>0</v>
      </c>
      <c r="AM767" s="905">
        <f t="shared" si="68"/>
        <v>0</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69"/>
        <v>G64700</v>
      </c>
      <c r="AU767" s="488" t="str">
        <f t="shared" si="70"/>
        <v>REMISE NEUF VOIT.DET.OPT</v>
      </c>
      <c r="AV767" s="899">
        <f>IFERROR(INDEX(V767:AG767,1,MATCH(Parametres!$B$3,V$1:AG$1,0)-1)*IF(OR(C767="L",C767="S",C767="I"),-1,1),"")</f>
        <v>0</v>
      </c>
      <c r="AW767" s="899">
        <f t="shared" si="71"/>
        <v>0</v>
      </c>
      <c r="AX767" s="899">
        <f>INDEX(V767:AG767,1,MATCH(Parametres!$B$3,V$1:AG$1,0))*IF(OR(C767="L",C767="S",C767="I"),-1,1)</f>
        <v>0</v>
      </c>
      <c r="AY767" s="487" t="s">
        <v>337</v>
      </c>
      <c r="AZ767" s="487">
        <f>+VLOOKUP($AJ767,Data_Validation!$A:$E,5,0)</f>
        <v>0</v>
      </c>
    </row>
    <row r="768" spans="1:52" ht="15" customHeight="1">
      <c r="A768" s="706" t="s">
        <v>1148</v>
      </c>
      <c r="B768" s="706">
        <v>2025</v>
      </c>
      <c r="C768" s="706" t="s">
        <v>2792</v>
      </c>
      <c r="D768" s="706" t="s">
        <v>2793</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G64701</v>
      </c>
      <c r="AK768" s="905" t="str">
        <f t="shared" si="73"/>
        <v>REMISE NEUF VOIT.DET.AUTR</v>
      </c>
      <c r="AL768" s="905">
        <f>IFERROR(INDEX(G768:R768,1,MATCH(Parametres!$B$3,G$1:R$1,0)-1)*IF(OR(F768="L",F768="S",F768="I"),-1,1),"")</f>
        <v>0</v>
      </c>
      <c r="AM768" s="905">
        <f t="shared" si="68"/>
        <v>0</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69"/>
        <v>G64701</v>
      </c>
      <c r="AU768" s="488" t="str">
        <f t="shared" si="70"/>
        <v>REMISE NEUF VOIT.DET.AUTR</v>
      </c>
      <c r="AV768" s="899">
        <f>IFERROR(INDEX(V768:AG768,1,MATCH(Parametres!$B$3,V$1:AG$1,0)-1)*IF(OR(C768="L",C768="S",C768="I"),-1,1),"")</f>
        <v>0</v>
      </c>
      <c r="AW768" s="899">
        <f t="shared" si="71"/>
        <v>0</v>
      </c>
      <c r="AX768" s="899">
        <f>INDEX(V768:AG768,1,MATCH(Parametres!$B$3,V$1:AG$1,0))*IF(OR(C768="L",C768="S",C768="I"),-1,1)</f>
        <v>0</v>
      </c>
      <c r="AY768" s="487" t="s">
        <v>337</v>
      </c>
      <c r="AZ768" s="487">
        <f>+VLOOKUP($AJ768,Data_Validation!$A:$E,5,0)</f>
        <v>0</v>
      </c>
    </row>
    <row r="769" spans="1:52" ht="15" customHeight="1">
      <c r="A769" s="706" t="s">
        <v>1148</v>
      </c>
      <c r="B769" s="706">
        <v>2025</v>
      </c>
      <c r="C769" s="706" t="s">
        <v>2794</v>
      </c>
      <c r="D769" s="706" t="s">
        <v>2795</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G64720</v>
      </c>
      <c r="AK769" s="905" t="str">
        <f t="shared" si="73"/>
        <v>REM.NEUF LOC.AUTO DET.OPT</v>
      </c>
      <c r="AL769" s="905">
        <f>IFERROR(INDEX(G769:R769,1,MATCH(Parametres!$B$3,G$1:R$1,0)-1)*IF(OR(F769="L",F769="S",F769="I"),-1,1),"")</f>
        <v>0</v>
      </c>
      <c r="AM769" s="905">
        <f t="shared" si="68"/>
        <v>0</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69"/>
        <v>G64720</v>
      </c>
      <c r="AU769" s="488" t="str">
        <f t="shared" si="70"/>
        <v>REM.NEUF LOC.AUTO DET.OPT</v>
      </c>
      <c r="AV769" s="899">
        <f>IFERROR(INDEX(V769:AG769,1,MATCH(Parametres!$B$3,V$1:AG$1,0)-1)*IF(OR(C769="L",C769="S",C769="I"),-1,1),"")</f>
        <v>0</v>
      </c>
      <c r="AW769" s="899">
        <f t="shared" si="71"/>
        <v>0</v>
      </c>
      <c r="AX769" s="899">
        <f>INDEX(V769:AG769,1,MATCH(Parametres!$B$3,V$1:AG$1,0))*IF(OR(C769="L",C769="S",C769="I"),-1,1)</f>
        <v>0</v>
      </c>
      <c r="AY769" s="487" t="s">
        <v>337</v>
      </c>
      <c r="AZ769" s="487">
        <f>+VLOOKUP($AJ769,Data_Validation!$A:$E,5,0)</f>
        <v>0</v>
      </c>
    </row>
    <row r="770" spans="1:52" ht="15" hidden="1" customHeight="1">
      <c r="A770" s="706" t="s">
        <v>1148</v>
      </c>
      <c r="B770" s="706">
        <v>2025</v>
      </c>
      <c r="C770" s="706" t="s">
        <v>2796</v>
      </c>
      <c r="D770" s="706" t="s">
        <v>2797</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G64800</v>
      </c>
      <c r="AK770" s="905" t="str">
        <f t="shared" si="73"/>
        <v>COUT-AUTOS USAGES EN GROS</v>
      </c>
      <c r="AL770" s="905">
        <f>IFERROR(INDEX(G770:R770,1,MATCH(Parametres!$B$3,G$1:R$1,0)-1)*IF(OR(F770="L",F770="S",F770="I"),-1,1),"")</f>
        <v>1213350.8500000001</v>
      </c>
      <c r="AM770" s="905">
        <f t="shared" si="68"/>
        <v>90220.239999999991</v>
      </c>
      <c r="AN770" s="905">
        <f>INDEX(G770:R770,1,MATCH(Parametres!$B$3,G$1:R$1,0))*IF(OR(F770="L",F770="S",F770="I"),-1,1)</f>
        <v>1303571.0900000001</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69"/>
        <v>G64800</v>
      </c>
      <c r="AU770" s="488" t="str">
        <f t="shared" si="70"/>
        <v>COUT-AUTOS USAGES EN GROS</v>
      </c>
      <c r="AV770" s="899">
        <f>IFERROR(INDEX(V770:AG770,1,MATCH(Parametres!$B$3,V$1:AG$1,0)-1)*IF(OR(C770="L",C770="S",C770="I"),-1,1),"")</f>
        <v>0</v>
      </c>
      <c r="AW770" s="899">
        <f t="shared" si="71"/>
        <v>0</v>
      </c>
      <c r="AX770" s="899">
        <f>INDEX(V770:AG770,1,MATCH(Parametres!$B$3,V$1:AG$1,0))*IF(OR(C770="L",C770="S",C770="I"),-1,1)</f>
        <v>0</v>
      </c>
      <c r="AY770" s="487" t="s">
        <v>337</v>
      </c>
      <c r="AZ770" s="487">
        <f>+VLOOKUP($AJ770,Data_Validation!$A:$E,5,0)</f>
        <v>0</v>
      </c>
    </row>
    <row r="771" spans="1:52" ht="15" customHeight="1">
      <c r="A771" s="706" t="s">
        <v>1148</v>
      </c>
      <c r="B771" s="706">
        <v>2025</v>
      </c>
      <c r="C771" s="706" t="s">
        <v>2798</v>
      </c>
      <c r="D771" s="706" t="s">
        <v>2799</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G64900</v>
      </c>
      <c r="AK771" s="905" t="str">
        <f t="shared" si="73"/>
        <v>RECTIFICATION STOCK AUTO</v>
      </c>
      <c r="AL771" s="905">
        <f>IFERROR(INDEX(G771:R771,1,MATCH(Parametres!$B$3,G$1:R$1,0)-1)*IF(OR(F771="L",F771="S",F771="I"),-1,1),"")</f>
        <v>0</v>
      </c>
      <c r="AM771" s="905">
        <f t="shared" si="68"/>
        <v>0</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69"/>
        <v>G64900</v>
      </c>
      <c r="AU771" s="488" t="str">
        <f t="shared" si="70"/>
        <v>RECTIFICATION STOCK AUTO</v>
      </c>
      <c r="AV771" s="899">
        <f>IFERROR(INDEX(V771:AG771,1,MATCH(Parametres!$B$3,V$1:AG$1,0)-1)*IF(OR(C771="L",C771="S",C771="I"),-1,1),"")</f>
        <v>0</v>
      </c>
      <c r="AW771" s="899">
        <f t="shared" si="71"/>
        <v>0</v>
      </c>
      <c r="AX771" s="899">
        <f>INDEX(V771:AG771,1,MATCH(Parametres!$B$3,V$1:AG$1,0))*IF(OR(C771="L",C771="S",C771="I"),-1,1)</f>
        <v>0</v>
      </c>
      <c r="AY771" s="487" t="s">
        <v>337</v>
      </c>
      <c r="AZ771" s="487">
        <f>+VLOOKUP($AJ771,Data_Validation!$A:$E,5,0)</f>
        <v>0</v>
      </c>
    </row>
    <row r="772" spans="1:52" ht="15" hidden="1" customHeight="1">
      <c r="A772" s="706" t="s">
        <v>1148</v>
      </c>
      <c r="B772" s="706">
        <v>2025</v>
      </c>
      <c r="C772" s="706" t="s">
        <v>2800</v>
      </c>
      <c r="D772" s="706" t="s">
        <v>2801</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G65000</v>
      </c>
      <c r="AK772" s="905" t="str">
        <f t="shared" si="73"/>
        <v>COUT-OCC.DETAIL    *WSALE</v>
      </c>
      <c r="AL772" s="905">
        <f>IFERROR(INDEX(G772:R772,1,MATCH(Parametres!$B$3,G$1:R$1,0)-1)*IF(OR(F772="L",F772="S",F772="I"),-1,1),"")</f>
        <v>0</v>
      </c>
      <c r="AM772" s="905">
        <f t="shared" ref="AM772:AM794" si="74">AN772-AL772</f>
        <v>0</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T794" si="75">C772</f>
        <v>G65000</v>
      </c>
      <c r="AU772" s="488" t="str">
        <f t="shared" ref="AU772:AU794" si="76">D772</f>
        <v>COUT-OCC.DETAIL    *WSALE</v>
      </c>
      <c r="AV772" s="899">
        <f>IFERROR(INDEX(V772:AG772,1,MATCH(Parametres!$B$3,V$1:AG$1,0)-1)*IF(OR(C772="L",C772="S",C772="I"),-1,1),"")</f>
        <v>0</v>
      </c>
      <c r="AW772" s="899">
        <f t="shared" ref="AW772:AW794" si="77">AX772-AV772</f>
        <v>0</v>
      </c>
      <c r="AX772" s="899">
        <f>INDEX(V772:AG772,1,MATCH(Parametres!$B$3,V$1:AG$1,0))*IF(OR(C772="L",C772="S",C772="I"),-1,1)</f>
        <v>0</v>
      </c>
      <c r="AY772" s="487" t="s">
        <v>337</v>
      </c>
      <c r="AZ772" s="487" t="str">
        <f>+VLOOKUP($AJ772,Data_Validation!$A:$E,5,0)</f>
        <v>Oui</v>
      </c>
    </row>
    <row r="773" spans="1:52" ht="15" hidden="1" customHeight="1">
      <c r="A773" s="706" t="s">
        <v>1148</v>
      </c>
      <c r="B773" s="706">
        <v>2025</v>
      </c>
      <c r="C773" s="706" t="s">
        <v>2802</v>
      </c>
      <c r="D773" s="706" t="s">
        <v>2803</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G65001</v>
      </c>
      <c r="AK773" s="905" t="str">
        <f t="shared" si="73"/>
        <v>COUT-CAMION OCC.DET.AUTR</v>
      </c>
      <c r="AL773" s="905">
        <f>IFERROR(INDEX(G773:R773,1,MATCH(Parametres!$B$3,G$1:R$1,0)-1)*IF(OR(F773="L",F773="S",F773="I"),-1,1),"")</f>
        <v>1689443.1</v>
      </c>
      <c r="AM773" s="905">
        <f t="shared" si="74"/>
        <v>851970.14999999991</v>
      </c>
      <c r="AN773" s="905">
        <f>INDEX(G773:R773,1,MATCH(Parametres!$B$3,G$1:R$1,0))*IF(OR(F773="L",F773="S",F773="I"),-1,1)</f>
        <v>2541413.25</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75"/>
        <v>G65001</v>
      </c>
      <c r="AU773" s="488" t="str">
        <f t="shared" si="76"/>
        <v>COUT-CAMION OCC.DET.AUTR</v>
      </c>
      <c r="AV773" s="899">
        <f>IFERROR(INDEX(V773:AG773,1,MATCH(Parametres!$B$3,V$1:AG$1,0)-1)*IF(OR(C773="L",C773="S",C773="I"),-1,1),"")</f>
        <v>0</v>
      </c>
      <c r="AW773" s="899">
        <f t="shared" si="77"/>
        <v>0</v>
      </c>
      <c r="AX773" s="899">
        <f>INDEX(V773:AG773,1,MATCH(Parametres!$B$3,V$1:AG$1,0))*IF(OR(C773="L",C773="S",C773="I"),-1,1)</f>
        <v>0</v>
      </c>
      <c r="AY773" s="487" t="s">
        <v>337</v>
      </c>
      <c r="AZ773" s="487">
        <f>+VLOOKUP($AJ773,Data_Validation!$A:$E,5,0)</f>
        <v>0</v>
      </c>
    </row>
    <row r="774" spans="1:52" ht="15" customHeight="1">
      <c r="A774" s="706" t="s">
        <v>1148</v>
      </c>
      <c r="B774" s="706">
        <v>2025</v>
      </c>
      <c r="C774" s="706" t="s">
        <v>2804</v>
      </c>
      <c r="D774" s="706" t="s">
        <v>2805</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G65020</v>
      </c>
      <c r="AK774" s="905" t="str">
        <f t="shared" si="73"/>
        <v>COUT-LOC.CAM.USAGE OPT.</v>
      </c>
      <c r="AL774" s="905">
        <f>IFERROR(INDEX(G774:R774,1,MATCH(Parametres!$B$3,G$1:R$1,0)-1)*IF(OR(F774="L",F774="S",F774="I"),-1,1),"")</f>
        <v>0</v>
      </c>
      <c r="AM774" s="905">
        <f t="shared" si="74"/>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G65020</v>
      </c>
      <c r="AU774" s="488" t="str">
        <f t="shared" si="76"/>
        <v>COUT-LOC.CAM.USAGE OPT.</v>
      </c>
      <c r="AV774" s="899">
        <f>IFERROR(INDEX(V774:AG774,1,MATCH(Parametres!$B$3,V$1:AG$1,0)-1)*IF(OR(C774="L",C774="S",C774="I"),-1,1),"")</f>
        <v>0</v>
      </c>
      <c r="AW774" s="899">
        <f t="shared" si="77"/>
        <v>0</v>
      </c>
      <c r="AX774" s="899">
        <f>INDEX(V774:AG774,1,MATCH(Parametres!$B$3,V$1:AG$1,0))*IF(OR(C774="L",C774="S",C774="I"),-1,1)</f>
        <v>0</v>
      </c>
      <c r="AY774" s="487" t="s">
        <v>337</v>
      </c>
      <c r="AZ774" s="487" t="e">
        <f>+VLOOKUP($AJ774,Data_Validation!$A:$E,5,0)</f>
        <v>#N/A</v>
      </c>
    </row>
    <row r="775" spans="1:52" ht="15" customHeight="1">
      <c r="A775" s="706" t="s">
        <v>1148</v>
      </c>
      <c r="B775" s="706">
        <v>2025</v>
      </c>
      <c r="C775" s="706" t="s">
        <v>2806</v>
      </c>
      <c r="D775" s="706" t="s">
        <v>2807</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G65100</v>
      </c>
      <c r="AK775" s="905" t="str">
        <f t="shared" si="73"/>
        <v>REMISE NEUF CAM.DET.OPT.</v>
      </c>
      <c r="AL775" s="905">
        <f>IFERROR(INDEX(G775:R775,1,MATCH(Parametres!$B$3,G$1:R$1,0)-1)*IF(OR(F775="L",F775="S",F775="I"),-1,1),"")</f>
        <v>0</v>
      </c>
      <c r="AM775" s="905">
        <f t="shared" si="74"/>
        <v>0</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75"/>
        <v>G65100</v>
      </c>
      <c r="AU775" s="488" t="str">
        <f t="shared" si="76"/>
        <v>REMISE NEUF CAM.DET.OPT.</v>
      </c>
      <c r="AV775" s="899">
        <f>IFERROR(INDEX(V775:AG775,1,MATCH(Parametres!$B$3,V$1:AG$1,0)-1)*IF(OR(C775="L",C775="S",C775="I"),-1,1),"")</f>
        <v>0</v>
      </c>
      <c r="AW775" s="899">
        <f t="shared" si="77"/>
        <v>0</v>
      </c>
      <c r="AX775" s="899">
        <f>INDEX(V775:AG775,1,MATCH(Parametres!$B$3,V$1:AG$1,0))*IF(OR(C775="L",C775="S",C775="I"),-1,1)</f>
        <v>0</v>
      </c>
      <c r="AY775" s="487" t="s">
        <v>337</v>
      </c>
      <c r="AZ775" s="487">
        <f>+VLOOKUP($AJ775,Data_Validation!$A:$E,5,0)</f>
        <v>0</v>
      </c>
    </row>
    <row r="776" spans="1:52" ht="15" customHeight="1">
      <c r="A776" s="706" t="s">
        <v>1148</v>
      </c>
      <c r="B776" s="706">
        <v>2025</v>
      </c>
      <c r="C776" s="706" t="s">
        <v>2808</v>
      </c>
      <c r="D776" s="706" t="s">
        <v>2809</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G65101</v>
      </c>
      <c r="AK776" s="905" t="str">
        <f t="shared" si="73"/>
        <v>REMISE NEUF CAM.DET.AUTRE</v>
      </c>
      <c r="AL776" s="905">
        <f>IFERROR(INDEX(G776:R776,1,MATCH(Parametres!$B$3,G$1:R$1,0)-1)*IF(OR(F776="L",F776="S",F776="I"),-1,1),"")</f>
        <v>0</v>
      </c>
      <c r="AM776" s="905">
        <f t="shared" si="74"/>
        <v>0</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75"/>
        <v>G65101</v>
      </c>
      <c r="AU776" s="488" t="str">
        <f t="shared" si="76"/>
        <v>REMISE NEUF CAM.DET.AUTRE</v>
      </c>
      <c r="AV776" s="899">
        <f>IFERROR(INDEX(V776:AG776,1,MATCH(Parametres!$B$3,V$1:AG$1,0)-1)*IF(OR(C776="L",C776="S",C776="I"),-1,1),"")</f>
        <v>0</v>
      </c>
      <c r="AW776" s="899">
        <f t="shared" si="77"/>
        <v>0</v>
      </c>
      <c r="AX776" s="899">
        <f>INDEX(V776:AG776,1,MATCH(Parametres!$B$3,V$1:AG$1,0))*IF(OR(C776="L",C776="S",C776="I"),-1,1)</f>
        <v>0</v>
      </c>
      <c r="AY776" s="487" t="s">
        <v>337</v>
      </c>
      <c r="AZ776" s="487">
        <f>+VLOOKUP($AJ776,Data_Validation!$A:$E,5,0)</f>
        <v>0</v>
      </c>
    </row>
    <row r="777" spans="1:52" ht="15" customHeight="1">
      <c r="A777" s="706" t="s">
        <v>1148</v>
      </c>
      <c r="B777" s="706">
        <v>2025</v>
      </c>
      <c r="C777" s="706" t="s">
        <v>2810</v>
      </c>
      <c r="D777" s="706" t="s">
        <v>2811</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G65120</v>
      </c>
      <c r="AK777" s="905" t="str">
        <f t="shared" si="73"/>
        <v>REM.NEUF LOC.CAM.DET.OPT.</v>
      </c>
      <c r="AL777" s="905">
        <f>IFERROR(INDEX(G777:R777,1,MATCH(Parametres!$B$3,G$1:R$1,0)-1)*IF(OR(F777="L",F777="S",F777="I"),-1,1),"")</f>
        <v>0</v>
      </c>
      <c r="AM777" s="905">
        <f t="shared" si="74"/>
        <v>0</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75"/>
        <v>G65120</v>
      </c>
      <c r="AU777" s="488" t="str">
        <f t="shared" si="76"/>
        <v>REM.NEUF LOC.CAM.DET.OPT.</v>
      </c>
      <c r="AV777" s="899">
        <f>IFERROR(INDEX(V777:AG777,1,MATCH(Parametres!$B$3,V$1:AG$1,0)-1)*IF(OR(C777="L",C777="S",C777="I"),-1,1),"")</f>
        <v>0</v>
      </c>
      <c r="AW777" s="899">
        <f t="shared" si="77"/>
        <v>0</v>
      </c>
      <c r="AX777" s="899">
        <f>INDEX(V777:AG777,1,MATCH(Parametres!$B$3,V$1:AG$1,0))*IF(OR(C777="L",C777="S",C777="I"),-1,1)</f>
        <v>0</v>
      </c>
      <c r="AY777" s="487" t="s">
        <v>337</v>
      </c>
      <c r="AZ777" s="487">
        <f>+VLOOKUP($AJ777,Data_Validation!$A:$E,5,0)</f>
        <v>0</v>
      </c>
    </row>
    <row r="778" spans="1:52" ht="15" hidden="1" customHeight="1">
      <c r="A778" s="706" t="s">
        <v>1148</v>
      </c>
      <c r="B778" s="706">
        <v>2025</v>
      </c>
      <c r="C778" s="706" t="s">
        <v>2812</v>
      </c>
      <c r="D778" s="706" t="s">
        <v>2813</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G65200</v>
      </c>
      <c r="AK778" s="905" t="str">
        <f t="shared" si="73"/>
        <v>COUT-CAM. OCCASION GROS</v>
      </c>
      <c r="AL778" s="905">
        <f>IFERROR(INDEX(G778:R778,1,MATCH(Parametres!$B$3,G$1:R$1,0)-1)*IF(OR(F778="L",F778="S",F778="I"),-1,1),"")</f>
        <v>18364456.210000001</v>
      </c>
      <c r="AM778" s="905">
        <f t="shared" si="74"/>
        <v>1039434.6499999985</v>
      </c>
      <c r="AN778" s="905">
        <f>INDEX(G778:R778,1,MATCH(Parametres!$B$3,G$1:R$1,0))*IF(OR(F778="L",F778="S",F778="I"),-1,1)</f>
        <v>19403890.859999999</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75"/>
        <v>G65200</v>
      </c>
      <c r="AU778" s="488" t="str">
        <f t="shared" si="76"/>
        <v>COUT-CAM. OCCASION GROS</v>
      </c>
      <c r="AV778" s="899">
        <f>IFERROR(INDEX(V778:AG778,1,MATCH(Parametres!$B$3,V$1:AG$1,0)-1)*IF(OR(C778="L",C778="S",C778="I"),-1,1),"")</f>
        <v>0</v>
      </c>
      <c r="AW778" s="899">
        <f t="shared" si="77"/>
        <v>0</v>
      </c>
      <c r="AX778" s="899">
        <f>INDEX(V778:AG778,1,MATCH(Parametres!$B$3,V$1:AG$1,0))*IF(OR(C778="L",C778="S",C778="I"),-1,1)</f>
        <v>0</v>
      </c>
      <c r="AY778" s="487" t="s">
        <v>337</v>
      </c>
      <c r="AZ778" s="487">
        <f>+VLOOKUP($AJ778,Data_Validation!$A:$E,5,0)</f>
        <v>0</v>
      </c>
    </row>
    <row r="779" spans="1:52" ht="15" hidden="1" customHeight="1">
      <c r="A779" s="706" t="s">
        <v>1148</v>
      </c>
      <c r="B779" s="706">
        <v>2025</v>
      </c>
      <c r="C779" s="706" t="s">
        <v>2814</v>
      </c>
      <c r="D779" s="706" t="s">
        <v>2815</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G65201</v>
      </c>
      <c r="AK779" s="905" t="str">
        <f t="shared" si="73"/>
        <v>COUT - WHOLESALE W</v>
      </c>
      <c r="AL779" s="905">
        <f>IFERROR(INDEX(G779:R779,1,MATCH(Parametres!$B$3,G$1:R$1,0)-1)*IF(OR(F779="L",F779="S",F779="I"),-1,1),"")</f>
        <v>23129370.670000002</v>
      </c>
      <c r="AM779" s="905">
        <f t="shared" si="74"/>
        <v>3446597.5</v>
      </c>
      <c r="AN779" s="905">
        <f>INDEX(G779:R779,1,MATCH(Parametres!$B$3,G$1:R$1,0))*IF(OR(F779="L",F779="S",F779="I"),-1,1)</f>
        <v>26575968.170000002</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75"/>
        <v>G65201</v>
      </c>
      <c r="AU779" s="488" t="str">
        <f t="shared" si="76"/>
        <v>COUT - WHOLESALE W</v>
      </c>
      <c r="AV779" s="899">
        <f>IFERROR(INDEX(V779:AG779,1,MATCH(Parametres!$B$3,V$1:AG$1,0)-1)*IF(OR(C779="L",C779="S",C779="I"),-1,1),"")</f>
        <v>0</v>
      </c>
      <c r="AW779" s="899">
        <f t="shared" si="77"/>
        <v>0</v>
      </c>
      <c r="AX779" s="899">
        <f>INDEX(V779:AG779,1,MATCH(Parametres!$B$3,V$1:AG$1,0))*IF(OR(C779="L",C779="S",C779="I"),-1,1)</f>
        <v>0</v>
      </c>
      <c r="AY779" s="487" t="s">
        <v>337</v>
      </c>
      <c r="AZ779" s="487">
        <f>+VLOOKUP($AJ779,Data_Validation!$A:$E,5,0)</f>
        <v>0</v>
      </c>
    </row>
    <row r="780" spans="1:52" ht="15" customHeight="1">
      <c r="A780" s="706" t="s">
        <v>1148</v>
      </c>
      <c r="B780" s="706">
        <v>2025</v>
      </c>
      <c r="C780" s="706" t="s">
        <v>2816</v>
      </c>
      <c r="D780" s="706" t="s">
        <v>2817</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G65300</v>
      </c>
      <c r="AK780" s="905" t="str">
        <f t="shared" si="73"/>
        <v>RECTIFICATION/STOCK/TRUCK</v>
      </c>
      <c r="AL780" s="905">
        <f>IFERROR(INDEX(G780:R780,1,MATCH(Parametres!$B$3,G$1:R$1,0)-1)*IF(OR(F780="L",F780="S",F780="I"),-1,1),"")</f>
        <v>0</v>
      </c>
      <c r="AM780" s="905">
        <f t="shared" si="74"/>
        <v>0</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ref="AT780" si="78">C780</f>
        <v>G65300</v>
      </c>
      <c r="AU780" s="488" t="str">
        <f t="shared" ref="AU780" si="79">D780</f>
        <v>RECTIFICATION/STOCK/TRUCK</v>
      </c>
      <c r="AV780" s="899">
        <f>IFERROR(INDEX(V780:AG780,1,MATCH(Parametres!$B$3,V$1:AG$1,0)-1)*IF(OR(C780="L",C780="S",C780="I"),-1,1),"")</f>
        <v>0</v>
      </c>
      <c r="AW780" s="899">
        <f t="shared" ref="AW780" si="80">AX780-AV780</f>
        <v>0</v>
      </c>
      <c r="AX780" s="899">
        <f>INDEX(V780:AG780,1,MATCH(Parametres!$B$3,V$1:AG$1,0))*IF(OR(C780="L",C780="S",C780="I"),-1,1)</f>
        <v>0</v>
      </c>
      <c r="AY780" s="487" t="s">
        <v>337</v>
      </c>
      <c r="AZ780" s="487">
        <f>+VLOOKUP($AJ780,Data_Validation!$A:$E,5,0)</f>
        <v>0</v>
      </c>
    </row>
    <row r="781" spans="1:52" ht="15" hidden="1" customHeight="1">
      <c r="A781" s="706" t="s">
        <v>1148</v>
      </c>
      <c r="B781" s="706">
        <v>2025</v>
      </c>
      <c r="C781" s="706" t="s">
        <v>2818</v>
      </c>
      <c r="D781" s="706" t="s">
        <v>2819</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G65400</v>
      </c>
      <c r="AK781" s="905" t="str">
        <f t="shared" si="73"/>
        <v>COUT-PLAN PROTECTION USAG</v>
      </c>
      <c r="AL781" s="905">
        <f>IFERROR(INDEX(G781:R781,1,MATCH(Parametres!$B$3,G$1:R$1,0)-1)*IF(OR(F781="L",F781="S",F781="I"),-1,1),"")</f>
        <v>56514.61</v>
      </c>
      <c r="AM781" s="905">
        <f t="shared" si="74"/>
        <v>14348</v>
      </c>
      <c r="AN781" s="905">
        <f>INDEX(G781:R781,1,MATCH(Parametres!$B$3,G$1:R$1,0))*IF(OR(F781="L",F781="S",F781="I"),-1,1)</f>
        <v>70862.61</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75"/>
        <v>G65400</v>
      </c>
      <c r="AU781" s="488" t="str">
        <f t="shared" si="76"/>
        <v>COUT-PLAN PROTECTION USAG</v>
      </c>
      <c r="AV781" s="899">
        <f>IFERROR(INDEX(V781:AG781,1,MATCH(Parametres!$B$3,V$1:AG$1,0)-1)*IF(OR(C781="L",C781="S",C781="I"),-1,1),"")</f>
        <v>0</v>
      </c>
      <c r="AW781" s="899">
        <f t="shared" si="77"/>
        <v>0</v>
      </c>
      <c r="AX781" s="899">
        <f>INDEX(V781:AG781,1,MATCH(Parametres!$B$3,V$1:AG$1,0))*IF(OR(C781="L",C781="S",C781="I"),-1,1)</f>
        <v>0</v>
      </c>
      <c r="AY781" s="487" t="s">
        <v>337</v>
      </c>
      <c r="AZ781" s="487">
        <f>+VLOOKUP($AJ781,Data_Validation!$A:$E,5,0)</f>
        <v>0</v>
      </c>
    </row>
    <row r="782" spans="1:52" ht="15" hidden="1" customHeight="1">
      <c r="A782" s="706" t="s">
        <v>1148</v>
      </c>
      <c r="B782" s="706">
        <v>2025</v>
      </c>
      <c r="C782" s="706" t="s">
        <v>2820</v>
      </c>
      <c r="D782" s="706" t="s">
        <v>2821</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G65500</v>
      </c>
      <c r="AK782" s="905" t="str">
        <f t="shared" si="73"/>
        <v>RETOUR DE LOCATION-COUT</v>
      </c>
      <c r="AL782" s="905">
        <f>IFERROR(INDEX(G782:R782,1,MATCH(Parametres!$B$3,G$1:R$1,0)-1)*IF(OR(F782="L",F782="S",F782="I"),-1,1),"")</f>
        <v>0</v>
      </c>
      <c r="AM782" s="905">
        <f t="shared" si="74"/>
        <v>0</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75"/>
        <v>G65500</v>
      </c>
      <c r="AU782" s="488" t="str">
        <f t="shared" si="76"/>
        <v>RETOUR DE LOCATION-COUT</v>
      </c>
      <c r="AV782" s="899">
        <f>IFERROR(INDEX(V782:AG782,1,MATCH(Parametres!$B$3,V$1:AG$1,0)-1)*IF(OR(C782="L",C782="S",C782="I"),-1,1),"")</f>
        <v>0</v>
      </c>
      <c r="AW782" s="899">
        <f t="shared" si="77"/>
        <v>0</v>
      </c>
      <c r="AX782" s="899">
        <f>INDEX(V782:AG782,1,MATCH(Parametres!$B$3,V$1:AG$1,0))*IF(OR(C782="L",C782="S",C782="I"),-1,1)</f>
        <v>0</v>
      </c>
      <c r="AY782" s="487" t="s">
        <v>337</v>
      </c>
      <c r="AZ782" s="487">
        <f>+VLOOKUP($AJ782,Data_Validation!$A:$E,5,0)</f>
        <v>0</v>
      </c>
    </row>
    <row r="783" spans="1:52" ht="15" hidden="1" customHeight="1">
      <c r="A783" s="706" t="s">
        <v>1148</v>
      </c>
      <c r="B783" s="706">
        <v>2025</v>
      </c>
      <c r="C783" s="706" t="s">
        <v>2822</v>
      </c>
      <c r="D783" s="706" t="s">
        <v>2823</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G65600</v>
      </c>
      <c r="AK783" s="905" t="str">
        <f t="shared" si="73"/>
        <v>COUT-REMPLACEMENT USAGES</v>
      </c>
      <c r="AL783" s="905">
        <f>IFERROR(INDEX(G783:R783,1,MATCH(Parametres!$B$3,G$1:R$1,0)-1)*IF(OR(F783="L",F783="S",F783="I"),-1,1),"")</f>
        <v>6614.3</v>
      </c>
      <c r="AM783" s="905">
        <f t="shared" si="74"/>
        <v>2255.4000000000005</v>
      </c>
      <c r="AN783" s="905">
        <f>INDEX(G783:R783,1,MATCH(Parametres!$B$3,G$1:R$1,0))*IF(OR(F783="L",F783="S",F783="I"),-1,1)</f>
        <v>8869.7000000000007</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75"/>
        <v>G65600</v>
      </c>
      <c r="AU783" s="488" t="str">
        <f t="shared" si="76"/>
        <v>COUT-REMPLACEMENT USAGES</v>
      </c>
      <c r="AV783" s="899">
        <f>IFERROR(INDEX(V783:AG783,1,MATCH(Parametres!$B$3,V$1:AG$1,0)-1)*IF(OR(C783="L",C783="S",C783="I"),-1,1),"")</f>
        <v>0</v>
      </c>
      <c r="AW783" s="899">
        <f t="shared" si="77"/>
        <v>0</v>
      </c>
      <c r="AX783" s="899">
        <f>INDEX(V783:AG783,1,MATCH(Parametres!$B$3,V$1:AG$1,0))*IF(OR(C783="L",C783="S",C783="I"),-1,1)</f>
        <v>0</v>
      </c>
      <c r="AY783" s="487" t="s">
        <v>337</v>
      </c>
      <c r="AZ783" s="487">
        <f>+VLOOKUP($AJ783,Data_Validation!$A:$E,5,0)</f>
        <v>0</v>
      </c>
    </row>
    <row r="784" spans="1:52" ht="15" hidden="1" customHeight="1">
      <c r="A784" s="706" t="s">
        <v>1148</v>
      </c>
      <c r="B784" s="706">
        <v>2025</v>
      </c>
      <c r="C784" s="706" t="s">
        <v>2824</v>
      </c>
      <c r="D784" s="706" t="s">
        <v>2825</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G65601</v>
      </c>
      <c r="AK784" s="905" t="str">
        <f t="shared" si="73"/>
        <v>COUT VEH U.S.A</v>
      </c>
      <c r="AL784" s="905">
        <f>IFERROR(INDEX(G784:R784,1,MATCH(Parametres!$B$3,G$1:R$1,0)-1)*IF(OR(F784="L",F784="S",F784="I"),-1,1),"")</f>
        <v>729817.91</v>
      </c>
      <c r="AM784" s="905">
        <f t="shared" si="74"/>
        <v>0</v>
      </c>
      <c r="AN784" s="905">
        <f>INDEX(G784:R784,1,MATCH(Parametres!$B$3,G$1:R$1,0))*IF(OR(F784="L",F784="S",F784="I"),-1,1)</f>
        <v>729817.91</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75"/>
        <v>G65601</v>
      </c>
      <c r="AU784" s="488" t="str">
        <f t="shared" si="76"/>
        <v>COUT VEH U.S.A</v>
      </c>
      <c r="AV784" s="899">
        <f>IFERROR(INDEX(V784:AG784,1,MATCH(Parametres!$B$3,V$1:AG$1,0)-1)*IF(OR(C784="L",C784="S",C784="I"),-1,1),"")</f>
        <v>0</v>
      </c>
      <c r="AW784" s="899">
        <f t="shared" si="77"/>
        <v>0</v>
      </c>
      <c r="AX784" s="899">
        <f>INDEX(V784:AG784,1,MATCH(Parametres!$B$3,V$1:AG$1,0))*IF(OR(C784="L",C784="S",C784="I"),-1,1)</f>
        <v>0</v>
      </c>
      <c r="AY784" s="487" t="s">
        <v>337</v>
      </c>
      <c r="AZ784" s="487">
        <f>+VLOOKUP($AJ784,Data_Validation!$A:$E,5,0)</f>
        <v>0</v>
      </c>
    </row>
    <row r="785" spans="1:52" ht="15" hidden="1" customHeight="1">
      <c r="A785" s="706" t="s">
        <v>1148</v>
      </c>
      <c r="B785" s="706">
        <v>2025</v>
      </c>
      <c r="C785" s="706" t="s">
        <v>2826</v>
      </c>
      <c r="D785" s="706" t="s">
        <v>2827</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G65602</v>
      </c>
      <c r="AK785" s="905" t="str">
        <f t="shared" si="73"/>
        <v>COUT VENTE USA -AJUSTMENT</v>
      </c>
      <c r="AL785" s="905">
        <f>IFERROR(INDEX(G785:R785,1,MATCH(Parametres!$B$3,G$1:R$1,0)-1)*IF(OR(F785="L",F785="S",F785="I"),-1,1),"")</f>
        <v>0</v>
      </c>
      <c r="AM785" s="905">
        <f t="shared" si="74"/>
        <v>0</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75"/>
        <v>G65602</v>
      </c>
      <c r="AU785" s="488" t="str">
        <f t="shared" si="76"/>
        <v>COUT VENTE USA -AJUSTMENT</v>
      </c>
      <c r="AV785" s="899">
        <f>IFERROR(INDEX(V785:AG785,1,MATCH(Parametres!$B$3,V$1:AG$1,0)-1)*IF(OR(C785="L",C785="S",C785="I"),-1,1),"")</f>
        <v>0</v>
      </c>
      <c r="AW785" s="899">
        <f t="shared" si="77"/>
        <v>0</v>
      </c>
      <c r="AX785" s="899">
        <f>INDEX(V785:AG785,1,MATCH(Parametres!$B$3,V$1:AG$1,0))*IF(OR(C785="L",C785="S",C785="I"),-1,1)</f>
        <v>0</v>
      </c>
      <c r="AY785" s="487" t="s">
        <v>337</v>
      </c>
      <c r="AZ785" s="487">
        <f>+VLOOKUP($AJ785,Data_Validation!$A:$E,5,0)</f>
        <v>0</v>
      </c>
    </row>
    <row r="786" spans="1:52" ht="15" hidden="1" customHeight="1">
      <c r="A786" s="706" t="s">
        <v>1148</v>
      </c>
      <c r="B786" s="706">
        <v>2025</v>
      </c>
      <c r="C786" s="706" t="s">
        <v>2828</v>
      </c>
      <c r="D786" s="706" t="s">
        <v>2829</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G65603</v>
      </c>
      <c r="AK786" s="905" t="str">
        <f t="shared" si="73"/>
        <v>COUTANT VENTES USA</v>
      </c>
      <c r="AL786" s="905">
        <f>IFERROR(INDEX(G786:R786,1,MATCH(Parametres!$B$3,G$1:R$1,0)-1)*IF(OR(F786="L",F786="S",F786="I"),-1,1),"")</f>
        <v>25285451.940000001</v>
      </c>
      <c r="AM786" s="905">
        <f t="shared" si="74"/>
        <v>191773.51999999955</v>
      </c>
      <c r="AN786" s="905">
        <f>INDEX(G786:R786,1,MATCH(Parametres!$B$3,G$1:R$1,0))*IF(OR(F786="L",F786="S",F786="I"),-1,1)</f>
        <v>25477225.460000001</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75"/>
        <v>G65603</v>
      </c>
      <c r="AU786" s="488" t="str">
        <f t="shared" si="76"/>
        <v>COUTANT VENTES USA</v>
      </c>
      <c r="AV786" s="899">
        <f>IFERROR(INDEX(V786:AG786,1,MATCH(Parametres!$B$3,V$1:AG$1,0)-1)*IF(OR(C786="L",C786="S",C786="I"),-1,1),"")</f>
        <v>0</v>
      </c>
      <c r="AW786" s="899">
        <f t="shared" si="77"/>
        <v>0</v>
      </c>
      <c r="AX786" s="899">
        <f>INDEX(V786:AG786,1,MATCH(Parametres!$B$3,V$1:AG$1,0))*IF(OR(C786="L",C786="S",C786="I"),-1,1)</f>
        <v>0</v>
      </c>
      <c r="AY786" s="487" t="s">
        <v>337</v>
      </c>
      <c r="AZ786" s="487">
        <f>+VLOOKUP($AJ786,Data_Validation!$A:$E,5,0)</f>
        <v>0</v>
      </c>
    </row>
    <row r="787" spans="1:52" ht="15" hidden="1" customHeight="1">
      <c r="A787" s="706" t="s">
        <v>1148</v>
      </c>
      <c r="B787" s="706">
        <v>2025</v>
      </c>
      <c r="C787" s="706" t="s">
        <v>2834</v>
      </c>
      <c r="D787" s="706" t="s">
        <v>2835</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81">C787</f>
        <v>G66010</v>
      </c>
      <c r="AK787" s="905" t="str">
        <f t="shared" ref="AK787:AK794" si="82">D787</f>
        <v>COUT CLIENT VOIT CAM LEG.</v>
      </c>
      <c r="AL787" s="905">
        <f>IFERROR(INDEX(G787:R787,1,MATCH(Parametres!$B$3,G$1:R$1,0)-1)*IF(OR(F787="L",F787="S",F787="I"),-1,1),"")</f>
        <v>149631.84</v>
      </c>
      <c r="AM787" s="905">
        <f t="shared" si="74"/>
        <v>22860.720000000001</v>
      </c>
      <c r="AN787" s="905">
        <f>INDEX(G787:R787,1,MATCH(Parametres!$B$3,G$1:R$1,0))*IF(OR(F787="L",F787="S",F787="I"),-1,1)</f>
        <v>172492.56</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75"/>
        <v>G66010</v>
      </c>
      <c r="AU787" s="488" t="str">
        <f t="shared" si="76"/>
        <v>COUT CLIENT VOIT CAM LEG.</v>
      </c>
      <c r="AV787" s="899">
        <f>IFERROR(INDEX(V787:AG787,1,MATCH(Parametres!$B$3,V$1:AG$1,0)-1)*IF(OR(C787="L",C787="S",C787="I"),-1,1),"")</f>
        <v>0</v>
      </c>
      <c r="AW787" s="899">
        <f t="shared" si="77"/>
        <v>0</v>
      </c>
      <c r="AX787" s="899">
        <f>INDEX(V787:AG787,1,MATCH(Parametres!$B$3,V$1:AG$1,0))*IF(OR(C787="L",C787="S",C787="I"),-1,1)</f>
        <v>0</v>
      </c>
      <c r="AY787" s="487" t="s">
        <v>337</v>
      </c>
      <c r="AZ787" s="487">
        <f>+VLOOKUP($AJ787,Data_Validation!$A:$E,5,0)</f>
        <v>0</v>
      </c>
    </row>
    <row r="788" spans="1:52" ht="15" hidden="1" customHeight="1">
      <c r="A788" s="706" t="s">
        <v>1148</v>
      </c>
      <c r="B788" s="706">
        <v>2025</v>
      </c>
      <c r="C788" s="706" t="s">
        <v>2836</v>
      </c>
      <c r="D788" s="706" t="s">
        <v>2837</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81"/>
        <v>G66020</v>
      </c>
      <c r="AK788" s="905" t="str">
        <f t="shared" si="82"/>
        <v>COUT CON.SER.VOIT CAM LEG</v>
      </c>
      <c r="AL788" s="905">
        <f>IFERROR(INDEX(G788:R788,1,MATCH(Parametres!$B$3,G$1:R$1,0)-1)*IF(OR(F788="L",F788="S",F788="I"),-1,1),"")</f>
        <v>0</v>
      </c>
      <c r="AM788" s="905">
        <f t="shared" si="74"/>
        <v>0</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75"/>
        <v>G66020</v>
      </c>
      <c r="AU788" s="488" t="str">
        <f t="shared" si="76"/>
        <v>COUT CON.SER.VOIT CAM LEG</v>
      </c>
      <c r="AV788" s="899">
        <f>IFERROR(INDEX(V788:AG788,1,MATCH(Parametres!$B$3,V$1:AG$1,0)-1)*IF(OR(C788="L",C788="S",C788="I"),-1,1),"")</f>
        <v>0</v>
      </c>
      <c r="AW788" s="899">
        <f t="shared" si="77"/>
        <v>0</v>
      </c>
      <c r="AX788" s="899">
        <f>INDEX(V788:AG788,1,MATCH(Parametres!$B$3,V$1:AG$1,0))*IF(OR(C788="L",C788="S",C788="I"),-1,1)</f>
        <v>0</v>
      </c>
      <c r="AY788" s="487" t="s">
        <v>337</v>
      </c>
      <c r="AZ788" s="487">
        <f>+VLOOKUP($AJ788,Data_Validation!$A:$E,5,0)</f>
        <v>0</v>
      </c>
    </row>
    <row r="789" spans="1:52" ht="15" customHeight="1">
      <c r="A789" s="706" t="s">
        <v>1148</v>
      </c>
      <c r="B789" s="706">
        <v>2025</v>
      </c>
      <c r="C789" s="706" t="s">
        <v>2838</v>
      </c>
      <c r="D789" s="706" t="s">
        <v>2839</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81"/>
        <v>G66030</v>
      </c>
      <c r="AK789" s="905" t="str">
        <f t="shared" si="82"/>
        <v>COUT-M.D.PLAN PROT.A.AUTO</v>
      </c>
      <c r="AL789" s="905">
        <f>IFERROR(INDEX(G789:R789,1,MATCH(Parametres!$B$3,G$1:R$1,0)-1)*IF(OR(F789="L",F789="S",F789="I"),-1,1),"")</f>
        <v>0</v>
      </c>
      <c r="AM789" s="905">
        <f t="shared" si="74"/>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G66030</v>
      </c>
      <c r="AU789" s="488" t="str">
        <f t="shared" si="76"/>
        <v>COUT-M.D.PLAN PROT.A.AUTO</v>
      </c>
      <c r="AV789" s="899">
        <f>IFERROR(INDEX(V789:AG789,1,MATCH(Parametres!$B$3,V$1:AG$1,0)-1)*IF(OR(C789="L",C789="S",C789="I"),-1,1),"")</f>
        <v>0</v>
      </c>
      <c r="AW789" s="899">
        <f t="shared" si="77"/>
        <v>0</v>
      </c>
      <c r="AX789" s="899">
        <f>INDEX(V789:AG789,1,MATCH(Parametres!$B$3,V$1:AG$1,0))*IF(OR(C789="L",C789="S",C789="I"),-1,1)</f>
        <v>0</v>
      </c>
      <c r="AY789" s="487" t="s">
        <v>337</v>
      </c>
      <c r="AZ789" s="487" t="e">
        <f>+VLOOKUP($AJ789,Data_Validation!$A:$E,5,0)</f>
        <v>#N/A</v>
      </c>
    </row>
    <row r="790" spans="1:52" ht="15" hidden="1" customHeight="1">
      <c r="A790" s="706" t="s">
        <v>1148</v>
      </c>
      <c r="B790" s="706">
        <v>2025</v>
      </c>
      <c r="C790" s="706" t="s">
        <v>2840</v>
      </c>
      <c r="D790" s="706" t="s">
        <v>2841</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81"/>
        <v>G66040</v>
      </c>
      <c r="AK790" s="905" t="str">
        <f t="shared" si="82"/>
        <v>COUT SER RAP.VOIT CAM LEG</v>
      </c>
      <c r="AL790" s="905">
        <f>IFERROR(INDEX(G790:R790,1,MATCH(Parametres!$B$3,G$1:R$1,0)-1)*IF(OR(F790="L",F790="S",F790="I"),-1,1),"")</f>
        <v>15535.29</v>
      </c>
      <c r="AM790" s="905">
        <f t="shared" si="74"/>
        <v>647.1299999999992</v>
      </c>
      <c r="AN790" s="905">
        <f>INDEX(G790:R790,1,MATCH(Parametres!$B$3,G$1:R$1,0))*IF(OR(F790="L",F790="S",F790="I"),-1,1)</f>
        <v>16182.42</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75"/>
        <v>G66040</v>
      </c>
      <c r="AU790" s="488" t="str">
        <f t="shared" si="76"/>
        <v>COUT SER RAP.VOIT CAM LEG</v>
      </c>
      <c r="AV790" s="899">
        <f>IFERROR(INDEX(V790:AG790,1,MATCH(Parametres!$B$3,V$1:AG$1,0)-1)*IF(OR(C790="L",C790="S",C790="I"),-1,1),"")</f>
        <v>0</v>
      </c>
      <c r="AW790" s="899">
        <f t="shared" si="77"/>
        <v>0</v>
      </c>
      <c r="AX790" s="899">
        <f>INDEX(V790:AG790,1,MATCH(Parametres!$B$3,V$1:AG$1,0))*IF(OR(C790="L",C790="S",C790="I"),-1,1)</f>
        <v>0</v>
      </c>
      <c r="AY790" s="487" t="s">
        <v>337</v>
      </c>
      <c r="AZ790" s="487">
        <f>+VLOOKUP($AJ790,Data_Validation!$A:$E,5,0)</f>
        <v>0</v>
      </c>
    </row>
    <row r="791" spans="1:52" ht="15" hidden="1" customHeight="1">
      <c r="A791" s="706" t="s">
        <v>1148</v>
      </c>
      <c r="B791" s="706">
        <v>2025</v>
      </c>
      <c r="C791" s="706" t="s">
        <v>2842</v>
      </c>
      <c r="D791" s="706" t="s">
        <v>2843</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81"/>
        <v>G66110</v>
      </c>
      <c r="AK791" s="905" t="str">
        <f t="shared" si="82"/>
        <v>COUT CLIENTS CAMION MOYEN</v>
      </c>
      <c r="AL791" s="905">
        <f>IFERROR(INDEX(G791:R791,1,MATCH(Parametres!$B$3,G$1:R$1,0)-1)*IF(OR(F791="L",F791="S",F791="I"),-1,1),"")</f>
        <v>185425.03</v>
      </c>
      <c r="AM791" s="905">
        <f t="shared" si="74"/>
        <v>22639.47</v>
      </c>
      <c r="AN791" s="905">
        <f>INDEX(G791:R791,1,MATCH(Parametres!$B$3,G$1:R$1,0))*IF(OR(F791="L",F791="S",F791="I"),-1,1)</f>
        <v>208064.5</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75"/>
        <v>G66110</v>
      </c>
      <c r="AU791" s="488" t="str">
        <f t="shared" si="76"/>
        <v>COUT CLIENTS CAMION MOYEN</v>
      </c>
      <c r="AV791" s="899">
        <f>IFERROR(INDEX(V791:AG791,1,MATCH(Parametres!$B$3,V$1:AG$1,0)-1)*IF(OR(C791="L",C791="S",C791="I"),-1,1),"")</f>
        <v>0</v>
      </c>
      <c r="AW791" s="899">
        <f t="shared" si="77"/>
        <v>0</v>
      </c>
      <c r="AX791" s="899">
        <f>INDEX(V791:AG791,1,MATCH(Parametres!$B$3,V$1:AG$1,0))*IF(OR(C791="L",C791="S",C791="I"),-1,1)</f>
        <v>0</v>
      </c>
      <c r="AY791" s="487" t="s">
        <v>337</v>
      </c>
      <c r="AZ791" s="487">
        <f>+VLOOKUP($AJ791,Data_Validation!$A:$E,5,0)</f>
        <v>0</v>
      </c>
    </row>
    <row r="792" spans="1:52" ht="15" hidden="1" customHeight="1">
      <c r="A792" s="706" t="s">
        <v>1148</v>
      </c>
      <c r="B792" s="706">
        <v>2025</v>
      </c>
      <c r="C792" s="706" t="s">
        <v>2844</v>
      </c>
      <c r="D792" s="706" t="s">
        <v>2845</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81"/>
        <v>G66120</v>
      </c>
      <c r="AK792" s="905" t="str">
        <f t="shared" si="82"/>
        <v>COUT CLAIM CAMIONS MOYEN</v>
      </c>
      <c r="AL792" s="905">
        <f>IFERROR(INDEX(G792:R792,1,MATCH(Parametres!$B$3,G$1:R$1,0)-1)*IF(OR(F792="L",F792="S",F792="I"),-1,1),"")</f>
        <v>0</v>
      </c>
      <c r="AM792" s="905">
        <f t="shared" si="74"/>
        <v>0</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75"/>
        <v>G66120</v>
      </c>
      <c r="AU792" s="488" t="str">
        <f t="shared" si="76"/>
        <v>COUT CLAIM CAMIONS MOYEN</v>
      </c>
      <c r="AV792" s="899">
        <f>IFERROR(INDEX(V792:AG792,1,MATCH(Parametres!$B$3,V$1:AG$1,0)-1)*IF(OR(C792="L",C792="S",C792="I"),-1,1),"")</f>
        <v>0</v>
      </c>
      <c r="AW792" s="899">
        <f t="shared" si="77"/>
        <v>0</v>
      </c>
      <c r="AX792" s="899">
        <f>INDEX(V792:AG792,1,MATCH(Parametres!$B$3,V$1:AG$1,0))*IF(OR(C792="L",C792="S",C792="I"),-1,1)</f>
        <v>0</v>
      </c>
      <c r="AY792" s="487" t="s">
        <v>337</v>
      </c>
      <c r="AZ792" s="487">
        <f>+VLOOKUP($AJ792,Data_Validation!$A:$E,5,0)</f>
        <v>0</v>
      </c>
    </row>
    <row r="793" spans="1:52" ht="15" hidden="1" customHeight="1">
      <c r="A793" s="706" t="s">
        <v>1148</v>
      </c>
      <c r="B793" s="706">
        <v>2025</v>
      </c>
      <c r="C793" s="706" t="s">
        <v>2846</v>
      </c>
      <c r="D793" s="706" t="s">
        <v>2847</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81"/>
        <v>G66140</v>
      </c>
      <c r="AK793" s="905" t="str">
        <f t="shared" si="82"/>
        <v>COUT SER RAP.CAMION MOYEN</v>
      </c>
      <c r="AL793" s="905">
        <f>IFERROR(INDEX(G793:R793,1,MATCH(Parametres!$B$3,G$1:R$1,0)-1)*IF(OR(F793="L",F793="S",F793="I"),-1,1),"")</f>
        <v>0</v>
      </c>
      <c r="AM793" s="905">
        <f t="shared" si="74"/>
        <v>0</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si="75"/>
        <v>G66140</v>
      </c>
      <c r="AU793" s="488" t="str">
        <f t="shared" si="76"/>
        <v>COUT SER RAP.CAMION MOYEN</v>
      </c>
      <c r="AV793" s="899">
        <f>IFERROR(INDEX(V793:AG793,1,MATCH(Parametres!$B$3,V$1:AG$1,0)-1)*IF(OR(C793="L",C793="S",C793="I"),-1,1),"")</f>
        <v>0</v>
      </c>
      <c r="AW793" s="899">
        <f t="shared" si="77"/>
        <v>0</v>
      </c>
      <c r="AX793" s="899">
        <f>INDEX(V793:AG793,1,MATCH(Parametres!$B$3,V$1:AG$1,0))*IF(OR(C793="L",C793="S",C793="I"),-1,1)</f>
        <v>0</v>
      </c>
      <c r="AY793" s="487" t="s">
        <v>337</v>
      </c>
      <c r="AZ793" s="487">
        <f>+VLOOKUP($AJ793,Data_Validation!$A:$E,5,0)</f>
        <v>0</v>
      </c>
    </row>
    <row r="794" spans="1:52" ht="15" hidden="1" customHeight="1">
      <c r="A794" s="706" t="s">
        <v>1148</v>
      </c>
      <c r="B794" s="706">
        <v>2025</v>
      </c>
      <c r="C794" s="706" t="s">
        <v>2848</v>
      </c>
      <c r="D794" s="706" t="s">
        <v>2849</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81"/>
        <v>G66200</v>
      </c>
      <c r="AK794" s="905" t="str">
        <f t="shared" si="82"/>
        <v>COUT-M.D. GARANTIE</v>
      </c>
      <c r="AL794" s="905">
        <f>IFERROR(INDEX(G794:R794,1,MATCH(Parametres!$B$3,G$1:R$1,0)-1)*IF(OR(F794="L",F794="S",F794="I"),-1,1),"")</f>
        <v>147664.71</v>
      </c>
      <c r="AM794" s="905">
        <f t="shared" si="74"/>
        <v>15435.630000000005</v>
      </c>
      <c r="AN794" s="905">
        <f>INDEX(G794:R794,1,MATCH(Parametres!$B$3,G$1:R$1,0))*IF(OR(F794="L",F794="S",F794="I"),-1,1)</f>
        <v>163100.34</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75"/>
        <v>G66200</v>
      </c>
      <c r="AU794" s="488" t="str">
        <f t="shared" si="76"/>
        <v>COUT-M.D. GARANTIE</v>
      </c>
      <c r="AV794" s="899">
        <f>IFERROR(INDEX(V794:AG794,1,MATCH(Parametres!$B$3,V$1:AG$1,0)-1)*IF(OR(C794="L",C794="S",C794="I"),-1,1),"")</f>
        <v>0</v>
      </c>
      <c r="AW794" s="899">
        <f t="shared" si="77"/>
        <v>0</v>
      </c>
      <c r="AX794" s="899">
        <f>INDEX(V794:AG794,1,MATCH(Parametres!$B$3,V$1:AG$1,0))*IF(OR(C794="L",C794="S",C794="I"),-1,1)</f>
        <v>0</v>
      </c>
      <c r="AY794" s="487" t="s">
        <v>337</v>
      </c>
      <c r="AZ794" s="487">
        <f>+VLOOKUP($AJ794,Data_Validation!$A:$E,5,0)</f>
        <v>0</v>
      </c>
    </row>
    <row r="795" spans="1:52" ht="15" hidden="1" customHeight="1">
      <c r="A795" s="706" t="s">
        <v>1148</v>
      </c>
      <c r="B795" s="706">
        <v>2025</v>
      </c>
      <c r="C795" s="706" t="s">
        <v>2850</v>
      </c>
      <c r="D795" s="706" t="s">
        <v>2851</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3">C795</f>
        <v>G66300</v>
      </c>
      <c r="AK795" s="905" t="str">
        <f t="shared" ref="AK795:AK858" si="84">D795</f>
        <v>COUT-M.D. INTERNE</v>
      </c>
      <c r="AL795" s="905">
        <f>IFERROR(INDEX(G795:R795,1,MATCH(Parametres!$B$3,G$1:R$1,0)-1)*IF(OR(F795="L",F795="S",F795="I"),-1,1),"")</f>
        <v>123692.3</v>
      </c>
      <c r="AM795" s="905">
        <f t="shared" ref="AM795:AM858" si="85">AN795-AL795</f>
        <v>15062.400000000009</v>
      </c>
      <c r="AN795" s="905">
        <f>INDEX(G795:R795,1,MATCH(Parametres!$B$3,G$1:R$1,0))*IF(OR(F795="L",F795="S",F795="I"),-1,1)</f>
        <v>138754.70000000001</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ref="AT795:AT858" si="86">C795</f>
        <v>G66300</v>
      </c>
      <c r="AU795" s="488" t="str">
        <f t="shared" ref="AU795:AU858" si="87">D795</f>
        <v>COUT-M.D. INTERNE</v>
      </c>
      <c r="AV795" s="899">
        <f>IFERROR(INDEX(V795:AG795,1,MATCH(Parametres!$B$3,V$1:AG$1,0)-1)*IF(OR(C795="L",C795="S",C795="I"),-1,1),"")</f>
        <v>0</v>
      </c>
      <c r="AW795" s="899">
        <f t="shared" ref="AW795:AW858" si="88">AX795-AV795</f>
        <v>0</v>
      </c>
      <c r="AX795" s="899">
        <f>INDEX(V795:AG795,1,MATCH(Parametres!$B$3,V$1:AG$1,0))*IF(OR(C795="L",C795="S",C795="I"),-1,1)</f>
        <v>0</v>
      </c>
      <c r="AY795" s="487" t="s">
        <v>337</v>
      </c>
      <c r="AZ795" s="487">
        <f>+VLOOKUP($AJ795,Data_Validation!$A:$E,5,0)</f>
        <v>0</v>
      </c>
    </row>
    <row r="796" spans="1:52" ht="15" hidden="1" customHeight="1">
      <c r="A796" s="706" t="s">
        <v>1148</v>
      </c>
      <c r="B796" s="706">
        <v>2025</v>
      </c>
      <c r="C796" s="706" t="s">
        <v>2852</v>
      </c>
      <c r="D796" s="706" t="s">
        <v>2853</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3"/>
        <v>G66320</v>
      </c>
      <c r="AK796" s="905" t="str">
        <f t="shared" si="84"/>
        <v>COUT-MO INTERNE CAM MOYEN</v>
      </c>
      <c r="AL796" s="905">
        <f>IFERROR(INDEX(G796:R796,1,MATCH(Parametres!$B$3,G$1:R$1,0)-1)*IF(OR(F796="L",F796="S",F796="I"),-1,1),"")</f>
        <v>2519.5500000000002</v>
      </c>
      <c r="AM796" s="905">
        <f t="shared" si="85"/>
        <v>417.40999999999985</v>
      </c>
      <c r="AN796" s="905">
        <f>INDEX(G796:R796,1,MATCH(Parametres!$B$3,G$1:R$1,0))*IF(OR(F796="L",F796="S",F796="I"),-1,1)</f>
        <v>2936.96</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86"/>
        <v>G66320</v>
      </c>
      <c r="AU796" s="488" t="str">
        <f t="shared" si="87"/>
        <v>COUT-MO INTERNE CAM MOYEN</v>
      </c>
      <c r="AV796" s="899">
        <f>IFERROR(INDEX(V796:AG796,1,MATCH(Parametres!$B$3,V$1:AG$1,0)-1)*IF(OR(C796="L",C796="S",C796="I"),-1,1),"")</f>
        <v>0</v>
      </c>
      <c r="AW796" s="899">
        <f t="shared" si="88"/>
        <v>0</v>
      </c>
      <c r="AX796" s="899">
        <f>INDEX(V796:AG796,1,MATCH(Parametres!$B$3,V$1:AG$1,0))*IF(OR(C796="L",C796="S",C796="I"),-1,1)</f>
        <v>0</v>
      </c>
      <c r="AY796" s="487" t="s">
        <v>337</v>
      </c>
      <c r="AZ796" s="487">
        <f>+VLOOKUP($AJ796,Data_Validation!$A:$E,5,0)</f>
        <v>0</v>
      </c>
    </row>
    <row r="797" spans="1:52" ht="15" hidden="1" customHeight="1">
      <c r="A797" s="706" t="s">
        <v>1148</v>
      </c>
      <c r="B797" s="706">
        <v>2025</v>
      </c>
      <c r="C797" s="706" t="s">
        <v>2854</v>
      </c>
      <c r="D797" s="706" t="s">
        <v>2855</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3"/>
        <v>G66400</v>
      </c>
      <c r="AK797" s="905" t="str">
        <f t="shared" si="84"/>
        <v>COUT-M.D. INSP.</v>
      </c>
      <c r="AL797" s="905">
        <f>IFERROR(INDEX(G797:R797,1,MATCH(Parametres!$B$3,G$1:R$1,0)-1)*IF(OR(F797="L",F797="S",F797="I"),-1,1),"")</f>
        <v>51841.19</v>
      </c>
      <c r="AM797" s="905">
        <f t="shared" si="85"/>
        <v>5514.7200000000012</v>
      </c>
      <c r="AN797" s="905">
        <f>INDEX(G797:R797,1,MATCH(Parametres!$B$3,G$1:R$1,0))*IF(OR(F797="L",F797="S",F797="I"),-1,1)</f>
        <v>57355.91</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86"/>
        <v>G66400</v>
      </c>
      <c r="AU797" s="488" t="str">
        <f t="shared" si="87"/>
        <v>COUT-M.D. INSP.</v>
      </c>
      <c r="AV797" s="899">
        <f>IFERROR(INDEX(V797:AG797,1,MATCH(Parametres!$B$3,V$1:AG$1,0)-1)*IF(OR(C797="L",C797="S",C797="I"),-1,1),"")</f>
        <v>0</v>
      </c>
      <c r="AW797" s="899">
        <f t="shared" si="88"/>
        <v>0</v>
      </c>
      <c r="AX797" s="899">
        <f>INDEX(V797:AG797,1,MATCH(Parametres!$B$3,V$1:AG$1,0))*IF(OR(C797="L",C797="S",C797="I"),-1,1)</f>
        <v>0</v>
      </c>
      <c r="AY797" s="487" t="s">
        <v>337</v>
      </c>
      <c r="AZ797" s="487">
        <f>+VLOOKUP($AJ797,Data_Validation!$A:$E,5,0)</f>
        <v>0</v>
      </c>
    </row>
    <row r="798" spans="1:52" ht="15" customHeight="1">
      <c r="A798" s="706" t="s">
        <v>1148</v>
      </c>
      <c r="B798" s="706">
        <v>2025</v>
      </c>
      <c r="C798" s="706" t="s">
        <v>2856</v>
      </c>
      <c r="D798" s="706" t="s">
        <v>2857</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3"/>
        <v>G66420</v>
      </c>
      <c r="AK798" s="905" t="str">
        <f t="shared" si="84"/>
        <v>COUT-MO INSPECTON PDI</v>
      </c>
      <c r="AL798" s="905">
        <f>IFERROR(INDEX(G798:R798,1,MATCH(Parametres!$B$3,G$1:R$1,0)-1)*IF(OR(F798="L",F798="S",F798="I"),-1,1),"")</f>
        <v>0</v>
      </c>
      <c r="AM798" s="905">
        <f t="shared" si="8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86"/>
        <v>G66420</v>
      </c>
      <c r="AU798" s="488" t="str">
        <f t="shared" si="87"/>
        <v>COUT-MO INSPECTON PDI</v>
      </c>
      <c r="AV798" s="899">
        <f>IFERROR(INDEX(V798:AG798,1,MATCH(Parametres!$B$3,V$1:AG$1,0)-1)*IF(OR(C798="L",C798="S",C798="I"),-1,1),"")</f>
        <v>0</v>
      </c>
      <c r="AW798" s="899">
        <f t="shared" si="88"/>
        <v>0</v>
      </c>
      <c r="AX798" s="899">
        <f>INDEX(V798:AG798,1,MATCH(Parametres!$B$3,V$1:AG$1,0))*IF(OR(C798="L",C798="S",C798="I"),-1,1)</f>
        <v>0</v>
      </c>
      <c r="AY798" s="487" t="s">
        <v>337</v>
      </c>
      <c r="AZ798" s="487" t="e">
        <f>+VLOOKUP($AJ798,Data_Validation!$A:$E,5,0)</f>
        <v>#N/A</v>
      </c>
    </row>
    <row r="799" spans="1:52" ht="15" hidden="1" customHeight="1">
      <c r="A799" s="706" t="s">
        <v>1148</v>
      </c>
      <c r="B799" s="706">
        <v>2025</v>
      </c>
      <c r="C799" s="706" t="s">
        <v>2858</v>
      </c>
      <c r="D799" s="706" t="s">
        <v>2859</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3"/>
        <v>G66500</v>
      </c>
      <c r="AK799" s="905" t="str">
        <f t="shared" si="84"/>
        <v>TEMPS PERDU SERVICE</v>
      </c>
      <c r="AL799" s="905">
        <f>IFERROR(INDEX(G799:R799,1,MATCH(Parametres!$B$3,G$1:R$1,0)-1)*IF(OR(F799="L",F799="S",F799="I"),-1,1),"")</f>
        <v>-24960.49</v>
      </c>
      <c r="AM799" s="905">
        <f t="shared" si="85"/>
        <v>-9.6899999999986903</v>
      </c>
      <c r="AN799" s="905">
        <f>INDEX(G799:R799,1,MATCH(Parametres!$B$3,G$1:R$1,0))*IF(OR(F799="L",F799="S",F799="I"),-1,1)</f>
        <v>-24970.18</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86"/>
        <v>G66500</v>
      </c>
      <c r="AU799" s="488" t="str">
        <f t="shared" si="87"/>
        <v>TEMPS PERDU SERVICE</v>
      </c>
      <c r="AV799" s="899">
        <f>IFERROR(INDEX(V799:AG799,1,MATCH(Parametres!$B$3,V$1:AG$1,0)-1)*IF(OR(C799="L",C799="S",C799="I"),-1,1),"")</f>
        <v>0</v>
      </c>
      <c r="AW799" s="899">
        <f t="shared" si="88"/>
        <v>0</v>
      </c>
      <c r="AX799" s="899">
        <f>INDEX(V799:AG799,1,MATCH(Parametres!$B$3,V$1:AG$1,0))*IF(OR(C799="L",C799="S",C799="I"),-1,1)</f>
        <v>0</v>
      </c>
      <c r="AY799" s="487" t="s">
        <v>337</v>
      </c>
      <c r="AZ799" s="487">
        <f>+VLOOKUP($AJ799,Data_Validation!$A:$E,5,0)</f>
        <v>0</v>
      </c>
    </row>
    <row r="800" spans="1:52" ht="15" hidden="1" customHeight="1">
      <c r="A800" s="706" t="s">
        <v>1148</v>
      </c>
      <c r="B800" s="706">
        <v>2025</v>
      </c>
      <c r="C800" s="706" t="s">
        <v>2860</v>
      </c>
      <c r="D800" s="706" t="s">
        <v>2861</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3"/>
        <v>G66600</v>
      </c>
      <c r="AK800" s="905" t="str">
        <f t="shared" si="84"/>
        <v>COUT-SOUS-CONTRATS SERV.</v>
      </c>
      <c r="AL800" s="905">
        <f>IFERROR(INDEX(G800:R800,1,MATCH(Parametres!$B$3,G$1:R$1,0)-1)*IF(OR(F800="L",F800="S",F800="I"),-1,1),"")</f>
        <v>154648.20000000001</v>
      </c>
      <c r="AM800" s="905">
        <f t="shared" si="85"/>
        <v>20637.149999999994</v>
      </c>
      <c r="AN800" s="905">
        <f>INDEX(G800:R800,1,MATCH(Parametres!$B$3,G$1:R$1,0))*IF(OR(F800="L",F800="S",F800="I"),-1,1)</f>
        <v>175285.35</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86"/>
        <v>G66600</v>
      </c>
      <c r="AU800" s="488" t="str">
        <f t="shared" si="87"/>
        <v>COUT-SOUS-CONTRATS SERV.</v>
      </c>
      <c r="AV800" s="899">
        <f>IFERROR(INDEX(V800:AG800,1,MATCH(Parametres!$B$3,V$1:AG$1,0)-1)*IF(OR(C800="L",C800="S",C800="I"),-1,1),"")</f>
        <v>0</v>
      </c>
      <c r="AW800" s="899">
        <f t="shared" si="88"/>
        <v>0</v>
      </c>
      <c r="AX800" s="899">
        <f>INDEX(V800:AG800,1,MATCH(Parametres!$B$3,V$1:AG$1,0))*IF(OR(C800="L",C800="S",C800="I"),-1,1)</f>
        <v>0</v>
      </c>
      <c r="AY800" s="487" t="s">
        <v>337</v>
      </c>
      <c r="AZ800" s="487">
        <f>+VLOOKUP($AJ800,Data_Validation!$A:$E,5,0)</f>
        <v>0</v>
      </c>
    </row>
    <row r="801" spans="1:52" ht="15" hidden="1" customHeight="1">
      <c r="A801" s="706" t="s">
        <v>1148</v>
      </c>
      <c r="B801" s="706">
        <v>2025</v>
      </c>
      <c r="C801" s="706" t="s">
        <v>2862</v>
      </c>
      <c r="D801" s="706" t="s">
        <v>2863</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3"/>
        <v>G66610</v>
      </c>
      <c r="AK801" s="905" t="str">
        <f t="shared" si="84"/>
        <v>COUT-REPAR. PARE-BRISES</v>
      </c>
      <c r="AL801" s="905">
        <f>IFERROR(INDEX(G801:R801,1,MATCH(Parametres!$B$3,G$1:R$1,0)-1)*IF(OR(F801="L",F801="S",F801="I"),-1,1),"")</f>
        <v>0</v>
      </c>
      <c r="AM801" s="905">
        <f t="shared" si="85"/>
        <v>0</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86"/>
        <v>G66610</v>
      </c>
      <c r="AU801" s="488" t="str">
        <f t="shared" si="87"/>
        <v>COUT-REPAR. PARE-BRISES</v>
      </c>
      <c r="AV801" s="899">
        <f>IFERROR(INDEX(V801:AG801,1,MATCH(Parametres!$B$3,V$1:AG$1,0)-1)*IF(OR(C801="L",C801="S",C801="I"),-1,1),"")</f>
        <v>0</v>
      </c>
      <c r="AW801" s="899">
        <f t="shared" si="88"/>
        <v>0</v>
      </c>
      <c r="AX801" s="899">
        <f>INDEX(V801:AG801,1,MATCH(Parametres!$B$3,V$1:AG$1,0))*IF(OR(C801="L",C801="S",C801="I"),-1,1)</f>
        <v>0</v>
      </c>
      <c r="AY801" s="487" t="s">
        <v>337</v>
      </c>
      <c r="AZ801" s="487">
        <f>+VLOOKUP($AJ801,Data_Validation!$A:$E,5,0)</f>
        <v>0</v>
      </c>
    </row>
    <row r="802" spans="1:52" ht="15" customHeight="1">
      <c r="A802" s="706" t="s">
        <v>1148</v>
      </c>
      <c r="B802" s="706">
        <v>2025</v>
      </c>
      <c r="C802" s="706" t="s">
        <v>2864</v>
      </c>
      <c r="D802" s="706" t="s">
        <v>2865</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3"/>
        <v>G66611</v>
      </c>
      <c r="AK802" s="905" t="str">
        <f t="shared" si="84"/>
        <v>SUPER VITRE COUT SUBLET</v>
      </c>
      <c r="AL802" s="905">
        <f>IFERROR(INDEX(G802:R802,1,MATCH(Parametres!$B$3,G$1:R$1,0)-1)*IF(OR(F802="L",F802="S",F802="I"),-1,1),"")</f>
        <v>0</v>
      </c>
      <c r="AM802" s="905">
        <f t="shared" si="8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86"/>
        <v>G66611</v>
      </c>
      <c r="AU802" s="488" t="str">
        <f t="shared" si="87"/>
        <v>SUPER VITRE COUT SUBLET</v>
      </c>
      <c r="AV802" s="899">
        <f>IFERROR(INDEX(V802:AG802,1,MATCH(Parametres!$B$3,V$1:AG$1,0)-1)*IF(OR(C802="L",C802="S",C802="I"),-1,1),"")</f>
        <v>0</v>
      </c>
      <c r="AW802" s="899">
        <f t="shared" si="88"/>
        <v>0</v>
      </c>
      <c r="AX802" s="899">
        <f>INDEX(V802:AG802,1,MATCH(Parametres!$B$3,V$1:AG$1,0))*IF(OR(C802="L",C802="S",C802="I"),-1,1)</f>
        <v>0</v>
      </c>
      <c r="AY802" s="487" t="s">
        <v>337</v>
      </c>
      <c r="AZ802" s="487" t="e">
        <f>+VLOOKUP($AJ802,Data_Validation!$A:$E,5,0)</f>
        <v>#N/A</v>
      </c>
    </row>
    <row r="803" spans="1:52" ht="15" hidden="1" customHeight="1">
      <c r="A803" s="706" t="s">
        <v>1148</v>
      </c>
      <c r="B803" s="706">
        <v>2025</v>
      </c>
      <c r="C803" s="706" t="s">
        <v>2866</v>
      </c>
      <c r="D803" s="706" t="s">
        <v>2867</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3"/>
        <v>G66710</v>
      </c>
      <c r="AK803" s="905" t="str">
        <f t="shared" si="84"/>
        <v>COUT P&amp;A SERV.CLIENT AUTO</v>
      </c>
      <c r="AL803" s="905">
        <f>IFERROR(INDEX(G803:R803,1,MATCH(Parametres!$B$3,G$1:R$1,0)-1)*IF(OR(F803="L",F803="S",F803="I"),-1,1),"")</f>
        <v>323914.53999999998</v>
      </c>
      <c r="AM803" s="905">
        <f t="shared" si="85"/>
        <v>49439.679999999993</v>
      </c>
      <c r="AN803" s="905">
        <f>INDEX(G803:R803,1,MATCH(Parametres!$B$3,G$1:R$1,0))*IF(OR(F803="L",F803="S",F803="I"),-1,1)</f>
        <v>373354.22</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86"/>
        <v>G66710</v>
      </c>
      <c r="AU803" s="488" t="str">
        <f t="shared" si="87"/>
        <v>COUT P&amp;A SERV.CLIENT AUTO</v>
      </c>
      <c r="AV803" s="899">
        <f>IFERROR(INDEX(V803:AG803,1,MATCH(Parametres!$B$3,V$1:AG$1,0)-1)*IF(OR(C803="L",C803="S",C803="I"),-1,1),"")</f>
        <v>0</v>
      </c>
      <c r="AW803" s="899">
        <f t="shared" si="88"/>
        <v>0</v>
      </c>
      <c r="AX803" s="899">
        <f>INDEX(V803:AG803,1,MATCH(Parametres!$B$3,V$1:AG$1,0))*IF(OR(C803="L",C803="S",C803="I"),-1,1)</f>
        <v>0</v>
      </c>
      <c r="AY803" s="487" t="s">
        <v>337</v>
      </c>
      <c r="AZ803" s="487">
        <f>+VLOOKUP($AJ803,Data_Validation!$A:$E,5,0)</f>
        <v>0</v>
      </c>
    </row>
    <row r="804" spans="1:52" ht="15" hidden="1" customHeight="1">
      <c r="A804" s="706" t="s">
        <v>1148</v>
      </c>
      <c r="B804" s="706">
        <v>2025</v>
      </c>
      <c r="C804" s="706" t="s">
        <v>2868</v>
      </c>
      <c r="D804" s="706" t="s">
        <v>2869</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3"/>
        <v>G66720</v>
      </c>
      <c r="AK804" s="905" t="str">
        <f t="shared" si="84"/>
        <v>COUT-P&amp;A SERV.PL.PROT.AUT</v>
      </c>
      <c r="AL804" s="905">
        <f>IFERROR(INDEX(G804:R804,1,MATCH(Parametres!$B$3,G$1:R$1,0)-1)*IF(OR(F804="L",F804="S",F804="I"),-1,1),"")</f>
        <v>0</v>
      </c>
      <c r="AM804" s="905">
        <f t="shared" si="85"/>
        <v>0</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86"/>
        <v>G66720</v>
      </c>
      <c r="AU804" s="488" t="str">
        <f t="shared" si="87"/>
        <v>COUT-P&amp;A SERV.PL.PROT.AUT</v>
      </c>
      <c r="AV804" s="899">
        <f>IFERROR(INDEX(V804:AG804,1,MATCH(Parametres!$B$3,V$1:AG$1,0)-1)*IF(OR(C804="L",C804="S",C804="I"),-1,1),"")</f>
        <v>0</v>
      </c>
      <c r="AW804" s="899">
        <f t="shared" si="88"/>
        <v>0</v>
      </c>
      <c r="AX804" s="899">
        <f>INDEX(V804:AG804,1,MATCH(Parametres!$B$3,V$1:AG$1,0))*IF(OR(C804="L",C804="S",C804="I"),-1,1)</f>
        <v>0</v>
      </c>
      <c r="AY804" s="487" t="s">
        <v>337</v>
      </c>
      <c r="AZ804" s="487">
        <f>+VLOOKUP($AJ804,Data_Validation!$A:$E,5,0)</f>
        <v>0</v>
      </c>
    </row>
    <row r="805" spans="1:52" ht="15" customHeight="1">
      <c r="A805" s="706" t="s">
        <v>1148</v>
      </c>
      <c r="B805" s="706">
        <v>2025</v>
      </c>
      <c r="C805" s="706" t="s">
        <v>2870</v>
      </c>
      <c r="D805" s="706" t="s">
        <v>2871</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3"/>
        <v>G66740</v>
      </c>
      <c r="AK805" s="905" t="str">
        <f t="shared" si="84"/>
        <v>P&amp;A GOOD VOIT CAM LEGER</v>
      </c>
      <c r="AL805" s="905">
        <f>IFERROR(INDEX(G805:R805,1,MATCH(Parametres!$B$3,G$1:R$1,0)-1)*IF(OR(F805="L",F805="S",F805="I"),-1,1),"")</f>
        <v>0</v>
      </c>
      <c r="AM805" s="905">
        <f t="shared" si="85"/>
        <v>0</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86"/>
        <v>G66740</v>
      </c>
      <c r="AU805" s="488" t="str">
        <f t="shared" si="87"/>
        <v>P&amp;A GOOD VOIT CAM LEGER</v>
      </c>
      <c r="AV805" s="899">
        <f>IFERROR(INDEX(V805:AG805,1,MATCH(Parametres!$B$3,V$1:AG$1,0)-1)*IF(OR(C805="L",C805="S",C805="I"),-1,1),"")</f>
        <v>0</v>
      </c>
      <c r="AW805" s="899">
        <f t="shared" si="88"/>
        <v>0</v>
      </c>
      <c r="AX805" s="899">
        <f>INDEX(V805:AG805,1,MATCH(Parametres!$B$3,V$1:AG$1,0))*IF(OR(C805="L",C805="S",C805="I"),-1,1)</f>
        <v>0</v>
      </c>
      <c r="AY805" s="487" t="s">
        <v>337</v>
      </c>
      <c r="AZ805" s="487">
        <f>+VLOOKUP($AJ805,Data_Validation!$A:$E,5,0)</f>
        <v>0</v>
      </c>
    </row>
    <row r="806" spans="1:52" ht="15" customHeight="1">
      <c r="A806" s="706" t="s">
        <v>1148</v>
      </c>
      <c r="B806" s="706">
        <v>2025</v>
      </c>
      <c r="C806" s="706" t="s">
        <v>2872</v>
      </c>
      <c r="D806" s="706" t="s">
        <v>2873</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3"/>
        <v>G66800</v>
      </c>
      <c r="AK806" s="905" t="str">
        <f t="shared" si="84"/>
        <v>COUT-VOIT.OCC.EN GROS-DET</v>
      </c>
      <c r="AL806" s="905">
        <f>IFERROR(INDEX(G806:R806,1,MATCH(Parametres!$B$3,G$1:R$1,0)-1)*IF(OR(F806="L",F806="S",F806="I"),-1,1),"")</f>
        <v>0</v>
      </c>
      <c r="AM806" s="905">
        <f t="shared" si="85"/>
        <v>0</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86"/>
        <v>G66800</v>
      </c>
      <c r="AU806" s="488" t="str">
        <f t="shared" si="87"/>
        <v>COUT-VOIT.OCC.EN GROS-DET</v>
      </c>
      <c r="AV806" s="899">
        <f>IFERROR(INDEX(V806:AG806,1,MATCH(Parametres!$B$3,V$1:AG$1,0)-1)*IF(OR(C806="L",C806="S",C806="I"),-1,1),"")</f>
        <v>0</v>
      </c>
      <c r="AW806" s="899">
        <f t="shared" si="88"/>
        <v>0</v>
      </c>
      <c r="AX806" s="899">
        <f>INDEX(V806:AG806,1,MATCH(Parametres!$B$3,V$1:AG$1,0))*IF(OR(C806="L",C806="S",C806="I"),-1,1)</f>
        <v>0</v>
      </c>
      <c r="AY806" s="487" t="s">
        <v>337</v>
      </c>
      <c r="AZ806" s="487">
        <f>+VLOOKUP($AJ806,Data_Validation!$A:$E,5,0)</f>
        <v>0</v>
      </c>
    </row>
    <row r="807" spans="1:52" ht="15" customHeight="1">
      <c r="A807" s="706" t="s">
        <v>1148</v>
      </c>
      <c r="B807" s="706">
        <v>2025</v>
      </c>
      <c r="C807" s="706" t="s">
        <v>2874</v>
      </c>
      <c r="D807" s="706" t="s">
        <v>2875</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3"/>
        <v>G66810</v>
      </c>
      <c r="AK807" s="905" t="str">
        <f t="shared" si="84"/>
        <v>COUT-P&amp;A SERV.CLIENT CAM.</v>
      </c>
      <c r="AL807" s="905">
        <f>IFERROR(INDEX(G807:R807,1,MATCH(Parametres!$B$3,G$1:R$1,0)-1)*IF(OR(F807="L",F807="S",F807="I"),-1,1),"")</f>
        <v>0</v>
      </c>
      <c r="AM807" s="905">
        <f t="shared" si="85"/>
        <v>0</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86"/>
        <v>G66810</v>
      </c>
      <c r="AU807" s="488" t="str">
        <f t="shared" si="87"/>
        <v>COUT-P&amp;A SERV.CLIENT CAM.</v>
      </c>
      <c r="AV807" s="899">
        <f>IFERROR(INDEX(V807:AG807,1,MATCH(Parametres!$B$3,V$1:AG$1,0)-1)*IF(OR(C807="L",C807="S",C807="I"),-1,1),"")</f>
        <v>0</v>
      </c>
      <c r="AW807" s="899">
        <f t="shared" si="88"/>
        <v>0</v>
      </c>
      <c r="AX807" s="899">
        <f>INDEX(V807:AG807,1,MATCH(Parametres!$B$3,V$1:AG$1,0))*IF(OR(C807="L",C807="S",C807="I"),-1,1)</f>
        <v>0</v>
      </c>
      <c r="AY807" s="487" t="s">
        <v>337</v>
      </c>
      <c r="AZ807" s="487">
        <f>+VLOOKUP($AJ807,Data_Validation!$A:$E,5,0)</f>
        <v>0</v>
      </c>
    </row>
    <row r="808" spans="1:52" ht="15" customHeight="1">
      <c r="A808" s="706" t="s">
        <v>1148</v>
      </c>
      <c r="B808" s="706">
        <v>2025</v>
      </c>
      <c r="C808" s="706" t="s">
        <v>2876</v>
      </c>
      <c r="D808" s="706" t="s">
        <v>2877</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3"/>
        <v>G66840</v>
      </c>
      <c r="AK808" s="905" t="str">
        <f t="shared" si="84"/>
        <v>COUT-P&amp;A GOODWRENCH CAM.</v>
      </c>
      <c r="AL808" s="905">
        <f>IFERROR(INDEX(G808:R808,1,MATCH(Parametres!$B$3,G$1:R$1,0)-1)*IF(OR(F808="L",F808="S",F808="I"),-1,1),"")</f>
        <v>0</v>
      </c>
      <c r="AM808" s="905">
        <f t="shared" si="8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86"/>
        <v>G66840</v>
      </c>
      <c r="AU808" s="488" t="str">
        <f t="shared" si="87"/>
        <v>COUT-P&amp;A GOODWRENCH CAM.</v>
      </c>
      <c r="AV808" s="899">
        <f>IFERROR(INDEX(V808:AG808,1,MATCH(Parametres!$B$3,V$1:AG$1,0)-1)*IF(OR(C808="L",C808="S",C808="I"),-1,1),"")</f>
        <v>0</v>
      </c>
      <c r="AW808" s="899">
        <f t="shared" si="88"/>
        <v>0</v>
      </c>
      <c r="AX808" s="899">
        <f>INDEX(V808:AG808,1,MATCH(Parametres!$B$3,V$1:AG$1,0))*IF(OR(C808="L",C808="S",C808="I"),-1,1)</f>
        <v>0</v>
      </c>
      <c r="AY808" s="487" t="s">
        <v>337</v>
      </c>
      <c r="AZ808" s="487" t="e">
        <f>+VLOOKUP($AJ808,Data_Validation!$A:$E,5,0)</f>
        <v>#N/A</v>
      </c>
    </row>
    <row r="809" spans="1:52" ht="15" hidden="1" customHeight="1">
      <c r="A809" s="706" t="s">
        <v>1148</v>
      </c>
      <c r="B809" s="706">
        <v>2025</v>
      </c>
      <c r="C809" s="706" t="s">
        <v>2878</v>
      </c>
      <c r="D809" s="706" t="s">
        <v>2879</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3"/>
        <v>G66900</v>
      </c>
      <c r="AK809" s="905" t="str">
        <f t="shared" si="84"/>
        <v>COUT MATERIEL ATELIER</v>
      </c>
      <c r="AL809" s="905">
        <f>IFERROR(INDEX(G809:R809,1,MATCH(Parametres!$B$3,G$1:R$1,0)-1)*IF(OR(F809="L",F809="S",F809="I"),-1,1),"")</f>
        <v>12116.83</v>
      </c>
      <c r="AM809" s="905">
        <f t="shared" si="85"/>
        <v>144.98999999999978</v>
      </c>
      <c r="AN809" s="905">
        <f>INDEX(G809:R809,1,MATCH(Parametres!$B$3,G$1:R$1,0))*IF(OR(F809="L",F809="S",F809="I"),-1,1)</f>
        <v>12261.82</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86"/>
        <v>G66900</v>
      </c>
      <c r="AU809" s="488" t="str">
        <f t="shared" si="87"/>
        <v>COUT MATERIEL ATELIER</v>
      </c>
      <c r="AV809" s="899">
        <f>IFERROR(INDEX(V809:AG809,1,MATCH(Parametres!$B$3,V$1:AG$1,0)-1)*IF(OR(C809="L",C809="S",C809="I"),-1,1),"")</f>
        <v>0</v>
      </c>
      <c r="AW809" s="899">
        <f t="shared" si="88"/>
        <v>0</v>
      </c>
      <c r="AX809" s="899">
        <f>INDEX(V809:AG809,1,MATCH(Parametres!$B$3,V$1:AG$1,0))*IF(OR(C809="L",C809="S",C809="I"),-1,1)</f>
        <v>0</v>
      </c>
      <c r="AY809" s="487" t="s">
        <v>337</v>
      </c>
      <c r="AZ809" s="487">
        <f>+VLOOKUP($AJ809,Data_Validation!$A:$E,5,0)</f>
        <v>0</v>
      </c>
    </row>
    <row r="810" spans="1:52" ht="15" hidden="1" customHeight="1">
      <c r="A810" s="706" t="s">
        <v>1148</v>
      </c>
      <c r="B810" s="706">
        <v>2025</v>
      </c>
      <c r="C810" s="706" t="s">
        <v>2880</v>
      </c>
      <c r="D810" s="706" t="s">
        <v>2881</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3"/>
        <v>G67000</v>
      </c>
      <c r="AK810" s="905" t="str">
        <f t="shared" si="84"/>
        <v>COUT-M.D. PEINTURE</v>
      </c>
      <c r="AL810" s="905">
        <f>IFERROR(INDEX(G810:R810,1,MATCH(Parametres!$B$3,G$1:R$1,0)-1)*IF(OR(F810="L",F810="S",F810="I"),-1,1),"")</f>
        <v>0</v>
      </c>
      <c r="AM810" s="905">
        <f t="shared" si="85"/>
        <v>0</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86"/>
        <v>G67000</v>
      </c>
      <c r="AU810" s="488" t="str">
        <f t="shared" si="87"/>
        <v>COUT-M.D. PEINTURE</v>
      </c>
      <c r="AV810" s="899">
        <f>IFERROR(INDEX(V810:AG810,1,MATCH(Parametres!$B$3,V$1:AG$1,0)-1)*IF(OR(C810="L",C810="S",C810="I"),-1,1),"")</f>
        <v>0</v>
      </c>
      <c r="AW810" s="899">
        <f t="shared" si="88"/>
        <v>0</v>
      </c>
      <c r="AX810" s="899">
        <f>INDEX(V810:AG810,1,MATCH(Parametres!$B$3,V$1:AG$1,0))*IF(OR(C810="L",C810="S",C810="I"),-1,1)</f>
        <v>0</v>
      </c>
      <c r="AY810" s="487" t="s">
        <v>337</v>
      </c>
      <c r="AZ810" s="487">
        <f>+VLOOKUP($AJ810,Data_Validation!$A:$E,5,0)</f>
        <v>0</v>
      </c>
    </row>
    <row r="811" spans="1:52" ht="15" hidden="1" customHeight="1">
      <c r="A811" s="706" t="s">
        <v>1148</v>
      </c>
      <c r="B811" s="706">
        <v>2025</v>
      </c>
      <c r="C811" s="706" t="s">
        <v>2884</v>
      </c>
      <c r="D811" s="706" t="s">
        <v>2885</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3"/>
        <v>G67100</v>
      </c>
      <c r="AK811" s="905" t="str">
        <f t="shared" si="84"/>
        <v>COUT-M.D. CARROSSERIE</v>
      </c>
      <c r="AL811" s="905">
        <f>IFERROR(INDEX(G811:R811,1,MATCH(Parametres!$B$3,G$1:R$1,0)-1)*IF(OR(F811="L",F811="S",F811="I"),-1,1),"")</f>
        <v>170278.1</v>
      </c>
      <c r="AM811" s="905">
        <f t="shared" si="85"/>
        <v>19727</v>
      </c>
      <c r="AN811" s="905">
        <f>INDEX(G811:R811,1,MATCH(Parametres!$B$3,G$1:R$1,0))*IF(OR(F811="L",F811="S",F811="I"),-1,1)</f>
        <v>190005.1</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86"/>
        <v>G67100</v>
      </c>
      <c r="AU811" s="488" t="str">
        <f t="shared" si="87"/>
        <v>COUT-M.D. CARROSSERIE</v>
      </c>
      <c r="AV811" s="899">
        <f>IFERROR(INDEX(V811:AG811,1,MATCH(Parametres!$B$3,V$1:AG$1,0)-1)*IF(OR(C811="L",C811="S",C811="I"),-1,1),"")</f>
        <v>0</v>
      </c>
      <c r="AW811" s="899">
        <f t="shared" si="88"/>
        <v>0</v>
      </c>
      <c r="AX811" s="899">
        <f>INDEX(V811:AG811,1,MATCH(Parametres!$B$3,V$1:AG$1,0))*IF(OR(C811="L",C811="S",C811="I"),-1,1)</f>
        <v>0</v>
      </c>
      <c r="AY811" s="487" t="s">
        <v>337</v>
      </c>
      <c r="AZ811" s="487">
        <f>+VLOOKUP($AJ811,Data_Validation!$A:$E,5,0)</f>
        <v>0</v>
      </c>
    </row>
    <row r="812" spans="1:52" ht="15" hidden="1" customHeight="1">
      <c r="A812" s="706" t="s">
        <v>1148</v>
      </c>
      <c r="B812" s="706">
        <v>2025</v>
      </c>
      <c r="C812" s="706" t="s">
        <v>2894</v>
      </c>
      <c r="D812" s="706" t="s">
        <v>2895</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3"/>
        <v>G67200</v>
      </c>
      <c r="AK812" s="905" t="str">
        <f t="shared" si="84"/>
        <v>COUT-M.D. B.CLAIM</v>
      </c>
      <c r="AL812" s="905">
        <f>IFERROR(INDEX(G812:R812,1,MATCH(Parametres!$B$3,G$1:R$1,0)-1)*IF(OR(F812="L",F812="S",F812="I"),-1,1),"")</f>
        <v>254.51</v>
      </c>
      <c r="AM812" s="905">
        <f t="shared" si="85"/>
        <v>0</v>
      </c>
      <c r="AN812" s="905">
        <f>INDEX(G812:R812,1,MATCH(Parametres!$B$3,G$1:R$1,0))*IF(OR(F812="L",F812="S",F812="I"),-1,1)</f>
        <v>254.51</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86"/>
        <v>G67200</v>
      </c>
      <c r="AU812" s="488" t="str">
        <f t="shared" si="87"/>
        <v>COUT-M.D. B.CLAIM</v>
      </c>
      <c r="AV812" s="899">
        <f>IFERROR(INDEX(V812:AG812,1,MATCH(Parametres!$B$3,V$1:AG$1,0)-1)*IF(OR(C812="L",C812="S",C812="I"),-1,1),"")</f>
        <v>0</v>
      </c>
      <c r="AW812" s="899">
        <f t="shared" si="88"/>
        <v>0</v>
      </c>
      <c r="AX812" s="899">
        <f>INDEX(V812:AG812,1,MATCH(Parametres!$B$3,V$1:AG$1,0))*IF(OR(C812="L",C812="S",C812="I"),-1,1)</f>
        <v>0</v>
      </c>
      <c r="AY812" s="487" t="s">
        <v>337</v>
      </c>
      <c r="AZ812" s="487">
        <f>+VLOOKUP($AJ812,Data_Validation!$A:$E,5,0)</f>
        <v>0</v>
      </c>
    </row>
    <row r="813" spans="1:52" ht="15" hidden="1" customHeight="1">
      <c r="A813" s="706" t="s">
        <v>1148</v>
      </c>
      <c r="B813" s="706">
        <v>2025</v>
      </c>
      <c r="C813" s="706" t="s">
        <v>2896</v>
      </c>
      <c r="D813" s="706" t="s">
        <v>2897</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3"/>
        <v>G67300</v>
      </c>
      <c r="AK813" s="905" t="str">
        <f t="shared" si="84"/>
        <v>COUT-M.D. BODY INT.</v>
      </c>
      <c r="AL813" s="905">
        <f>IFERROR(INDEX(G813:R813,1,MATCH(Parametres!$B$3,G$1:R$1,0)-1)*IF(OR(F813="L",F813="S",F813="I"),-1,1),"")</f>
        <v>9764.0300000000007</v>
      </c>
      <c r="AM813" s="905">
        <f t="shared" si="85"/>
        <v>3031.67</v>
      </c>
      <c r="AN813" s="905">
        <f>INDEX(G813:R813,1,MATCH(Parametres!$B$3,G$1:R$1,0))*IF(OR(F813="L",F813="S",F813="I"),-1,1)</f>
        <v>12795.7</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86"/>
        <v>G67300</v>
      </c>
      <c r="AU813" s="488" t="str">
        <f t="shared" si="87"/>
        <v>COUT-M.D. BODY INT.</v>
      </c>
      <c r="AV813" s="899">
        <f>IFERROR(INDEX(V813:AG813,1,MATCH(Parametres!$B$3,V$1:AG$1,0)-1)*IF(OR(C813="L",C813="S",C813="I"),-1,1),"")</f>
        <v>0</v>
      </c>
      <c r="AW813" s="899">
        <f t="shared" si="88"/>
        <v>0</v>
      </c>
      <c r="AX813" s="899">
        <f>INDEX(V813:AG813,1,MATCH(Parametres!$B$3,V$1:AG$1,0))*IF(OR(C813="L",C813="S",C813="I"),-1,1)</f>
        <v>0</v>
      </c>
      <c r="AY813" s="487" t="s">
        <v>337</v>
      </c>
      <c r="AZ813" s="487">
        <f>+VLOOKUP($AJ813,Data_Validation!$A:$E,5,0)</f>
        <v>0</v>
      </c>
    </row>
    <row r="814" spans="1:52" ht="15" hidden="1" customHeight="1">
      <c r="A814" s="706" t="s">
        <v>1148</v>
      </c>
      <c r="B814" s="706">
        <v>2025</v>
      </c>
      <c r="C814" s="706" t="s">
        <v>2902</v>
      </c>
      <c r="D814" s="706" t="s">
        <v>2903</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3"/>
        <v>G67500</v>
      </c>
      <c r="AK814" s="905" t="str">
        <f t="shared" si="84"/>
        <v>TEMPS PERDU CARROSSERIE</v>
      </c>
      <c r="AL814" s="905">
        <f>IFERROR(INDEX(G814:R814,1,MATCH(Parametres!$B$3,G$1:R$1,0)-1)*IF(OR(F814="L",F814="S",F814="I"),-1,1),"")</f>
        <v>-7326.93</v>
      </c>
      <c r="AM814" s="905">
        <f t="shared" si="85"/>
        <v>-5962.6299999999992</v>
      </c>
      <c r="AN814" s="905">
        <f>INDEX(G814:R814,1,MATCH(Parametres!$B$3,G$1:R$1,0))*IF(OR(F814="L",F814="S",F814="I"),-1,1)</f>
        <v>-13289.56</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86"/>
        <v>G67500</v>
      </c>
      <c r="AU814" s="488" t="str">
        <f t="shared" si="87"/>
        <v>TEMPS PERDU CARROSSERIE</v>
      </c>
      <c r="AV814" s="899">
        <f>IFERROR(INDEX(V814:AG814,1,MATCH(Parametres!$B$3,V$1:AG$1,0)-1)*IF(OR(C814="L",C814="S",C814="I"),-1,1),"")</f>
        <v>0</v>
      </c>
      <c r="AW814" s="899">
        <f t="shared" si="88"/>
        <v>0</v>
      </c>
      <c r="AX814" s="899">
        <f>INDEX(V814:AG814,1,MATCH(Parametres!$B$3,V$1:AG$1,0))*IF(OR(C814="L",C814="S",C814="I"),-1,1)</f>
        <v>0</v>
      </c>
      <c r="AY814" s="487" t="s">
        <v>337</v>
      </c>
      <c r="AZ814" s="487">
        <f>+VLOOKUP($AJ814,Data_Validation!$A:$E,5,0)</f>
        <v>0</v>
      </c>
    </row>
    <row r="815" spans="1:52" ht="15" hidden="1" customHeight="1">
      <c r="A815" s="706" t="s">
        <v>1148</v>
      </c>
      <c r="B815" s="706">
        <v>2025</v>
      </c>
      <c r="C815" s="706" t="s">
        <v>2904</v>
      </c>
      <c r="D815" s="706" t="s">
        <v>2905</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3"/>
        <v>G67600</v>
      </c>
      <c r="AK815" s="905" t="str">
        <f t="shared" si="84"/>
        <v>COUT-REP.SOUS-TRAIT.BODY</v>
      </c>
      <c r="AL815" s="905">
        <f>IFERROR(INDEX(G815:R815,1,MATCH(Parametres!$B$3,G$1:R$1,0)-1)*IF(OR(F815="L",F815="S",F815="I"),-1,1),"")</f>
        <v>595502.79</v>
      </c>
      <c r="AM815" s="905">
        <f t="shared" si="85"/>
        <v>52936.770000000019</v>
      </c>
      <c r="AN815" s="905">
        <f>INDEX(G815:R815,1,MATCH(Parametres!$B$3,G$1:R$1,0))*IF(OR(F815="L",F815="S",F815="I"),-1,1)</f>
        <v>648439.56000000006</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86"/>
        <v>G67600</v>
      </c>
      <c r="AU815" s="488" t="str">
        <f t="shared" si="87"/>
        <v>COUT-REP.SOUS-TRAIT.BODY</v>
      </c>
      <c r="AV815" s="899">
        <f>IFERROR(INDEX(V815:AG815,1,MATCH(Parametres!$B$3,V$1:AG$1,0)-1)*IF(OR(C815="L",C815="S",C815="I"),-1,1),"")</f>
        <v>0</v>
      </c>
      <c r="AW815" s="899">
        <f t="shared" si="88"/>
        <v>0</v>
      </c>
      <c r="AX815" s="899">
        <f>INDEX(V815:AG815,1,MATCH(Parametres!$B$3,V$1:AG$1,0))*IF(OR(C815="L",C815="S",C815="I"),-1,1)</f>
        <v>0</v>
      </c>
      <c r="AY815" s="487" t="s">
        <v>337</v>
      </c>
      <c r="AZ815" s="487">
        <f>+VLOOKUP($AJ815,Data_Validation!$A:$E,5,0)</f>
        <v>0</v>
      </c>
    </row>
    <row r="816" spans="1:52" ht="15" hidden="1" customHeight="1">
      <c r="A816" s="706" t="s">
        <v>1148</v>
      </c>
      <c r="B816" s="706">
        <v>2025</v>
      </c>
      <c r="C816" s="706" t="s">
        <v>2922</v>
      </c>
      <c r="D816" s="706" t="s">
        <v>2923</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3"/>
        <v>G67700</v>
      </c>
      <c r="AK816" s="905" t="str">
        <f t="shared" si="84"/>
        <v>COUT P&amp;A CLIENT CARROSSER</v>
      </c>
      <c r="AL816" s="905">
        <f>IFERROR(INDEX(G816:R816,1,MATCH(Parametres!$B$3,G$1:R$1,0)-1)*IF(OR(F816="L",F816="S",F816="I"),-1,1),"")</f>
        <v>11.84</v>
      </c>
      <c r="AM816" s="905">
        <f t="shared" si="85"/>
        <v>541.51</v>
      </c>
      <c r="AN816" s="905">
        <f>INDEX(G816:R816,1,MATCH(Parametres!$B$3,G$1:R$1,0))*IF(OR(F816="L",F816="S",F816="I"),-1,1)</f>
        <v>553.35</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86"/>
        <v>G67700</v>
      </c>
      <c r="AU816" s="488" t="str">
        <f t="shared" si="87"/>
        <v>COUT P&amp;A CLIENT CARROSSER</v>
      </c>
      <c r="AV816" s="899">
        <f>IFERROR(INDEX(V816:AG816,1,MATCH(Parametres!$B$3,V$1:AG$1,0)-1)*IF(OR(C816="L",C816="S",C816="I"),-1,1),"")</f>
        <v>0</v>
      </c>
      <c r="AW816" s="899">
        <f t="shared" si="88"/>
        <v>0</v>
      </c>
      <c r="AX816" s="899">
        <f>INDEX(V816:AG816,1,MATCH(Parametres!$B$3,V$1:AG$1,0))*IF(OR(C816="L",C816="S",C816="I"),-1,1)</f>
        <v>0</v>
      </c>
      <c r="AY816" s="487" t="s">
        <v>337</v>
      </c>
      <c r="AZ816" s="487">
        <f>+VLOOKUP($AJ816,Data_Validation!$A:$E,5,0)</f>
        <v>0</v>
      </c>
    </row>
    <row r="817" spans="1:52" ht="15" customHeight="1">
      <c r="A817" s="706" t="s">
        <v>1148</v>
      </c>
      <c r="B817" s="706">
        <v>2025</v>
      </c>
      <c r="C817" s="706" t="s">
        <v>2924</v>
      </c>
      <c r="D817" s="706" t="s">
        <v>2925</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3"/>
        <v>G67800</v>
      </c>
      <c r="AK817" s="905" t="str">
        <f t="shared" si="84"/>
        <v>COUT-PCE BODY CLIENT CAM</v>
      </c>
      <c r="AL817" s="905">
        <f>IFERROR(INDEX(G817:R817,1,MATCH(Parametres!$B$3,G$1:R$1,0)-1)*IF(OR(F817="L",F817="S",F817="I"),-1,1),"")</f>
        <v>0</v>
      </c>
      <c r="AM817" s="905">
        <f t="shared" si="85"/>
        <v>0</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86"/>
        <v>G67800</v>
      </c>
      <c r="AU817" s="488" t="str">
        <f t="shared" si="87"/>
        <v>COUT-PCE BODY CLIENT CAM</v>
      </c>
      <c r="AV817" s="899">
        <f>IFERROR(INDEX(V817:AG817,1,MATCH(Parametres!$B$3,V$1:AG$1,0)-1)*IF(OR(C817="L",C817="S",C817="I"),-1,1),"")</f>
        <v>0</v>
      </c>
      <c r="AW817" s="899">
        <f t="shared" si="88"/>
        <v>0</v>
      </c>
      <c r="AX817" s="899">
        <f>INDEX(V817:AG817,1,MATCH(Parametres!$B$3,V$1:AG$1,0))*IF(OR(C817="L",C817="S",C817="I"),-1,1)</f>
        <v>0</v>
      </c>
      <c r="AY817" s="487" t="s">
        <v>337</v>
      </c>
      <c r="AZ817" s="487">
        <f>+VLOOKUP($AJ817,Data_Validation!$A:$E,5,0)</f>
        <v>0</v>
      </c>
    </row>
    <row r="818" spans="1:52" ht="15" customHeight="1">
      <c r="A818" s="706" t="s">
        <v>1148</v>
      </c>
      <c r="B818" s="706">
        <v>2025</v>
      </c>
      <c r="C818" s="706" t="s">
        <v>2926</v>
      </c>
      <c r="D818" s="706" t="s">
        <v>2927</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3"/>
        <v>G67840</v>
      </c>
      <c r="AK818" s="905" t="str">
        <f t="shared" si="84"/>
        <v>COUT-P&amp;A GOODW CAM MOYEN</v>
      </c>
      <c r="AL818" s="905">
        <f>IFERROR(INDEX(G818:R818,1,MATCH(Parametres!$B$3,G$1:R$1,0)-1)*IF(OR(F818="L",F818="S",F818="I"),-1,1),"")</f>
        <v>0</v>
      </c>
      <c r="AM818" s="905">
        <f t="shared" si="8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86"/>
        <v>G67840</v>
      </c>
      <c r="AU818" s="488" t="str">
        <f t="shared" si="87"/>
        <v>COUT-P&amp;A GOODW CAM MOYEN</v>
      </c>
      <c r="AV818" s="899">
        <f>IFERROR(INDEX(V818:AG818,1,MATCH(Parametres!$B$3,V$1:AG$1,0)-1)*IF(OR(C818="L",C818="S",C818="I"),-1,1),"")</f>
        <v>0</v>
      </c>
      <c r="AW818" s="899">
        <f t="shared" si="88"/>
        <v>0</v>
      </c>
      <c r="AX818" s="899">
        <f>INDEX(V818:AG818,1,MATCH(Parametres!$B$3,V$1:AG$1,0))*IF(OR(C818="L",C818="S",C818="I"),-1,1)</f>
        <v>0</v>
      </c>
      <c r="AY818" s="487" t="s">
        <v>337</v>
      </c>
      <c r="AZ818" s="487" t="e">
        <f>+VLOOKUP($AJ818,Data_Validation!$A:$E,5,0)</f>
        <v>#N/A</v>
      </c>
    </row>
    <row r="819" spans="1:52" ht="15" hidden="1" customHeight="1">
      <c r="A819" s="706" t="s">
        <v>1148</v>
      </c>
      <c r="B819" s="706">
        <v>2025</v>
      </c>
      <c r="C819" s="706" t="s">
        <v>2928</v>
      </c>
      <c r="D819" s="706" t="s">
        <v>2929</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3"/>
        <v>G67900</v>
      </c>
      <c r="AK819" s="905" t="str">
        <f t="shared" si="84"/>
        <v>COUT-PEINTURE CARROSSERIE</v>
      </c>
      <c r="AL819" s="905">
        <f>IFERROR(INDEX(G819:R819,1,MATCH(Parametres!$B$3,G$1:R$1,0)-1)*IF(OR(F819="L",F819="S",F819="I"),-1,1),"")</f>
        <v>51057.74</v>
      </c>
      <c r="AM819" s="905">
        <f t="shared" si="85"/>
        <v>5141.68</v>
      </c>
      <c r="AN819" s="905">
        <f>INDEX(G819:R819,1,MATCH(Parametres!$B$3,G$1:R$1,0))*IF(OR(F819="L",F819="S",F819="I"),-1,1)</f>
        <v>56199.42</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86"/>
        <v>G67900</v>
      </c>
      <c r="AU819" s="488" t="str">
        <f t="shared" si="87"/>
        <v>COUT-PEINTURE CARROSSERIE</v>
      </c>
      <c r="AV819" s="899">
        <f>IFERROR(INDEX(V819:AG819,1,MATCH(Parametres!$B$3,V$1:AG$1,0)-1)*IF(OR(C819="L",C819="S",C819="I"),-1,1),"")</f>
        <v>0</v>
      </c>
      <c r="AW819" s="899">
        <f t="shared" si="88"/>
        <v>0</v>
      </c>
      <c r="AX819" s="899">
        <f>INDEX(V819:AG819,1,MATCH(Parametres!$B$3,V$1:AG$1,0))*IF(OR(C819="L",C819="S",C819="I"),-1,1)</f>
        <v>0</v>
      </c>
      <c r="AY819" s="487" t="s">
        <v>337</v>
      </c>
      <c r="AZ819" s="487">
        <f>+VLOOKUP($AJ819,Data_Validation!$A:$E,5,0)</f>
        <v>0</v>
      </c>
    </row>
    <row r="820" spans="1:52" ht="15" hidden="1" customHeight="1">
      <c r="A820" s="706" t="s">
        <v>1148</v>
      </c>
      <c r="B820" s="706">
        <v>2025</v>
      </c>
      <c r="C820" s="706" t="s">
        <v>2940</v>
      </c>
      <c r="D820" s="706" t="s">
        <v>2941</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3"/>
        <v>G68000</v>
      </c>
      <c r="AK820" s="905" t="str">
        <f t="shared" si="84"/>
        <v>COUT-PIECE GARANTIE</v>
      </c>
      <c r="AL820" s="905">
        <f>IFERROR(INDEX(G820:R820,1,MATCH(Parametres!$B$3,G$1:R$1,0)-1)*IF(OR(F820="L",F820="S",F820="I"),-1,1),"")</f>
        <v>363639.59</v>
      </c>
      <c r="AM820" s="905">
        <f t="shared" si="85"/>
        <v>33959.379999999946</v>
      </c>
      <c r="AN820" s="905">
        <f>INDEX(G820:R820,1,MATCH(Parametres!$B$3,G$1:R$1,0))*IF(OR(F820="L",F820="S",F820="I"),-1,1)</f>
        <v>397598.97</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86"/>
        <v>G68000</v>
      </c>
      <c r="AU820" s="488" t="str">
        <f t="shared" si="87"/>
        <v>COUT-PIECE GARANTIE</v>
      </c>
      <c r="AV820" s="899">
        <f>IFERROR(INDEX(V820:AG820,1,MATCH(Parametres!$B$3,V$1:AG$1,0)-1)*IF(OR(C820="L",C820="S",C820="I"),-1,1),"")</f>
        <v>0</v>
      </c>
      <c r="AW820" s="899">
        <f t="shared" si="88"/>
        <v>0</v>
      </c>
      <c r="AX820" s="899">
        <f>INDEX(V820:AG820,1,MATCH(Parametres!$B$3,V$1:AG$1,0))*IF(OR(C820="L",C820="S",C820="I"),-1,1)</f>
        <v>0</v>
      </c>
      <c r="AY820" s="487" t="s">
        <v>337</v>
      </c>
      <c r="AZ820" s="487">
        <f>+VLOOKUP($AJ820,Data_Validation!$A:$E,5,0)</f>
        <v>0</v>
      </c>
    </row>
    <row r="821" spans="1:52" ht="15" hidden="1" customHeight="1">
      <c r="A821" s="706" t="s">
        <v>1148</v>
      </c>
      <c r="B821" s="706">
        <v>2025</v>
      </c>
      <c r="C821" s="706" t="s">
        <v>2942</v>
      </c>
      <c r="D821" s="706" t="s">
        <v>2943</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3"/>
        <v>G68020</v>
      </c>
      <c r="AK821" s="905" t="str">
        <f t="shared" si="84"/>
        <v>COUT-P&amp;A RECLAM.CAM MOYEN</v>
      </c>
      <c r="AL821" s="905">
        <f>IFERROR(INDEX(G821:R821,1,MATCH(Parametres!$B$3,G$1:R$1,0)-1)*IF(OR(F821="L",F821="S",F821="I"),-1,1),"")</f>
        <v>0</v>
      </c>
      <c r="AM821" s="905">
        <f t="shared" si="85"/>
        <v>0</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86"/>
        <v>G68020</v>
      </c>
      <c r="AU821" s="488" t="str">
        <f t="shared" si="87"/>
        <v>COUT-P&amp;A RECLAM.CAM MOYEN</v>
      </c>
      <c r="AV821" s="899">
        <f>IFERROR(INDEX(V821:AG821,1,MATCH(Parametres!$B$3,V$1:AG$1,0)-1)*IF(OR(C821="L",C821="S",C821="I"),-1,1),"")</f>
        <v>0</v>
      </c>
      <c r="AW821" s="899">
        <f t="shared" si="88"/>
        <v>0</v>
      </c>
      <c r="AX821" s="899">
        <f>INDEX(V821:AG821,1,MATCH(Parametres!$B$3,V$1:AG$1,0))*IF(OR(C821="L",C821="S",C821="I"),-1,1)</f>
        <v>0</v>
      </c>
      <c r="AY821" s="487" t="s">
        <v>337</v>
      </c>
      <c r="AZ821" s="487">
        <f>+VLOOKUP($AJ821,Data_Validation!$A:$E,5,0)</f>
        <v>0</v>
      </c>
    </row>
    <row r="822" spans="1:52" ht="15" hidden="1" customHeight="1">
      <c r="A822" s="706" t="s">
        <v>1148</v>
      </c>
      <c r="B822" s="706">
        <v>2025</v>
      </c>
      <c r="C822" s="706" t="s">
        <v>2944</v>
      </c>
      <c r="D822" s="706" t="s">
        <v>2945</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3"/>
        <v>G68100</v>
      </c>
      <c r="AK822" s="905" t="str">
        <f t="shared" si="84"/>
        <v>COUT-PIECES INTERNE</v>
      </c>
      <c r="AL822" s="905">
        <f>IFERROR(INDEX(G822:R822,1,MATCH(Parametres!$B$3,G$1:R$1,0)-1)*IF(OR(F822="L",F822="S",F822="I"),-1,1),"")</f>
        <v>393397.43</v>
      </c>
      <c r="AM822" s="905">
        <f t="shared" si="85"/>
        <v>34366.100000000035</v>
      </c>
      <c r="AN822" s="905">
        <f>INDEX(G822:R822,1,MATCH(Parametres!$B$3,G$1:R$1,0))*IF(OR(F822="L",F822="S",F822="I"),-1,1)</f>
        <v>427763.53</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86"/>
        <v>G68100</v>
      </c>
      <c r="AU822" s="488" t="str">
        <f t="shared" si="87"/>
        <v>COUT-PIECES INTERNE</v>
      </c>
      <c r="AV822" s="899">
        <f>IFERROR(INDEX(V822:AG822,1,MATCH(Parametres!$B$3,V$1:AG$1,0)-1)*IF(OR(C822="L",C822="S",C822="I"),-1,1),"")</f>
        <v>0</v>
      </c>
      <c r="AW822" s="899">
        <f t="shared" si="88"/>
        <v>0</v>
      </c>
      <c r="AX822" s="899">
        <f>INDEX(V822:AG822,1,MATCH(Parametres!$B$3,V$1:AG$1,0))*IF(OR(C822="L",C822="S",C822="I"),-1,1)</f>
        <v>0</v>
      </c>
      <c r="AY822" s="487" t="s">
        <v>337</v>
      </c>
      <c r="AZ822" s="487">
        <f>+VLOOKUP($AJ822,Data_Validation!$A:$E,5,0)</f>
        <v>0</v>
      </c>
    </row>
    <row r="823" spans="1:52" ht="15" hidden="1" customHeight="1">
      <c r="A823" s="706" t="s">
        <v>1148</v>
      </c>
      <c r="B823" s="706">
        <v>2025</v>
      </c>
      <c r="C823" s="706" t="s">
        <v>2946</v>
      </c>
      <c r="D823" s="706" t="s">
        <v>2947</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3"/>
        <v>G68120</v>
      </c>
      <c r="AK823" s="905" t="str">
        <f t="shared" si="84"/>
        <v>COUT-P&amp;A INTERN CAM MOYEN</v>
      </c>
      <c r="AL823" s="905">
        <f>IFERROR(INDEX(G823:R823,1,MATCH(Parametres!$B$3,G$1:R$1,0)-1)*IF(OR(F823="L",F823="S",F823="I"),-1,1),"")</f>
        <v>0</v>
      </c>
      <c r="AM823" s="905">
        <f t="shared" si="85"/>
        <v>0</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86"/>
        <v>G68120</v>
      </c>
      <c r="AU823" s="488" t="str">
        <f t="shared" si="87"/>
        <v>COUT-P&amp;A INTERN CAM MOYEN</v>
      </c>
      <c r="AV823" s="899">
        <f>IFERROR(INDEX(V823:AG823,1,MATCH(Parametres!$B$3,V$1:AG$1,0)-1)*IF(OR(C823="L",C823="S",C823="I"),-1,1),"")</f>
        <v>0</v>
      </c>
      <c r="AW823" s="899">
        <f t="shared" si="88"/>
        <v>0</v>
      </c>
      <c r="AX823" s="899">
        <f>INDEX(V823:AG823,1,MATCH(Parametres!$B$3,V$1:AG$1,0))*IF(OR(C823="L",C823="S",C823="I"),-1,1)</f>
        <v>0</v>
      </c>
      <c r="AY823" s="487" t="s">
        <v>337</v>
      </c>
      <c r="AZ823" s="487">
        <f>+VLOOKUP($AJ823,Data_Validation!$A:$E,5,0)</f>
        <v>0</v>
      </c>
    </row>
    <row r="824" spans="1:52" ht="15" hidden="1" customHeight="1">
      <c r="A824" s="706" t="s">
        <v>1148</v>
      </c>
      <c r="B824" s="706">
        <v>2025</v>
      </c>
      <c r="C824" s="706" t="s">
        <v>2948</v>
      </c>
      <c r="D824" s="706" t="s">
        <v>2949</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3"/>
        <v>G68200</v>
      </c>
      <c r="AK824" s="905" t="str">
        <f t="shared" si="84"/>
        <v>COUT-PIECES AU DETAIL</v>
      </c>
      <c r="AL824" s="905">
        <f>IFERROR(INDEX(G824:R824,1,MATCH(Parametres!$B$3,G$1:R$1,0)-1)*IF(OR(F824="L",F824="S",F824="I"),-1,1),"")</f>
        <v>215163.27</v>
      </c>
      <c r="AM824" s="905">
        <f t="shared" si="85"/>
        <v>20411.360000000015</v>
      </c>
      <c r="AN824" s="905">
        <f>INDEX(G824:R824,1,MATCH(Parametres!$B$3,G$1:R$1,0))*IF(OR(F824="L",F824="S",F824="I"),-1,1)</f>
        <v>235574.63</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86"/>
        <v>G68200</v>
      </c>
      <c r="AU824" s="488" t="str">
        <f t="shared" si="87"/>
        <v>COUT-PIECES AU DETAIL</v>
      </c>
      <c r="AV824" s="899">
        <f>IFERROR(INDEX(V824:AG824,1,MATCH(Parametres!$B$3,V$1:AG$1,0)-1)*IF(OR(C824="L",C824="S",C824="I"),-1,1),"")</f>
        <v>0</v>
      </c>
      <c r="AW824" s="899">
        <f t="shared" si="88"/>
        <v>0</v>
      </c>
      <c r="AX824" s="899">
        <f>INDEX(V824:AG824,1,MATCH(Parametres!$B$3,V$1:AG$1,0))*IF(OR(C824="L",C824="S",C824="I"),-1,1)</f>
        <v>0</v>
      </c>
      <c r="AY824" s="487" t="s">
        <v>337</v>
      </c>
      <c r="AZ824" s="487">
        <f>+VLOOKUP($AJ824,Data_Validation!$A:$E,5,0)</f>
        <v>0</v>
      </c>
    </row>
    <row r="825" spans="1:52" ht="15" hidden="1" customHeight="1">
      <c r="A825" s="706" t="s">
        <v>1148</v>
      </c>
      <c r="B825" s="706">
        <v>2025</v>
      </c>
      <c r="C825" s="706" t="s">
        <v>2950</v>
      </c>
      <c r="D825" s="706" t="s">
        <v>2951</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3"/>
        <v>G68300</v>
      </c>
      <c r="AK825" s="905" t="str">
        <f t="shared" si="84"/>
        <v>COUT-PIECES EN GROS</v>
      </c>
      <c r="AL825" s="905">
        <f>IFERROR(INDEX(G825:R825,1,MATCH(Parametres!$B$3,G$1:R$1,0)-1)*IF(OR(F825="L",F825="S",F825="I"),-1,1),"")</f>
        <v>1119693.3700000001</v>
      </c>
      <c r="AM825" s="905">
        <f t="shared" si="85"/>
        <v>72881.889999999898</v>
      </c>
      <c r="AN825" s="905">
        <f>INDEX(G825:R825,1,MATCH(Parametres!$B$3,G$1:R$1,0))*IF(OR(F825="L",F825="S",F825="I"),-1,1)</f>
        <v>1192575.26</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86"/>
        <v>G68300</v>
      </c>
      <c r="AU825" s="488" t="str">
        <f t="shared" si="87"/>
        <v>COUT-PIECES EN GROS</v>
      </c>
      <c r="AV825" s="899">
        <f>IFERROR(INDEX(V825:AG825,1,MATCH(Parametres!$B$3,V$1:AG$1,0)-1)*IF(OR(C825="L",C825="S",C825="I"),-1,1),"")</f>
        <v>0</v>
      </c>
      <c r="AW825" s="899">
        <f t="shared" si="88"/>
        <v>0</v>
      </c>
      <c r="AX825" s="899">
        <f>INDEX(V825:AG825,1,MATCH(Parametres!$B$3,V$1:AG$1,0))*IF(OR(C825="L",C825="S",C825="I"),-1,1)</f>
        <v>0</v>
      </c>
      <c r="AY825" s="487" t="s">
        <v>337</v>
      </c>
      <c r="AZ825" s="487">
        <f>+VLOOKUP($AJ825,Data_Validation!$A:$E,5,0)</f>
        <v>0</v>
      </c>
    </row>
    <row r="826" spans="1:52" ht="15" hidden="1" customHeight="1">
      <c r="A826" s="706" t="s">
        <v>1148</v>
      </c>
      <c r="B826" s="706">
        <v>2025</v>
      </c>
      <c r="C826" s="706" t="s">
        <v>2952</v>
      </c>
      <c r="D826" s="706" t="s">
        <v>2953</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3"/>
        <v>G68700</v>
      </c>
      <c r="AK826" s="905" t="str">
        <f t="shared" si="84"/>
        <v>ESCOMPTES DE VOLUME</v>
      </c>
      <c r="AL826" s="905">
        <f>IFERROR(INDEX(G826:R826,1,MATCH(Parametres!$B$3,G$1:R$1,0)-1)*IF(OR(F826="L",F826="S",F826="I"),-1,1),"")</f>
        <v>-64362.8</v>
      </c>
      <c r="AM826" s="905">
        <f t="shared" si="85"/>
        <v>-20164.75</v>
      </c>
      <c r="AN826" s="905">
        <f>INDEX(G826:R826,1,MATCH(Parametres!$B$3,G$1:R$1,0))*IF(OR(F826="L",F826="S",F826="I"),-1,1)</f>
        <v>-84527.55</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86"/>
        <v>G68700</v>
      </c>
      <c r="AU826" s="488" t="str">
        <f t="shared" si="87"/>
        <v>ESCOMPTES DE VOLUME</v>
      </c>
      <c r="AV826" s="899">
        <f>IFERROR(INDEX(V826:AG826,1,MATCH(Parametres!$B$3,V$1:AG$1,0)-1)*IF(OR(C826="L",C826="S",C826="I"),-1,1),"")</f>
        <v>0</v>
      </c>
      <c r="AW826" s="899">
        <f t="shared" si="88"/>
        <v>0</v>
      </c>
      <c r="AX826" s="899">
        <f>INDEX(V826:AG826,1,MATCH(Parametres!$B$3,V$1:AG$1,0))*IF(OR(C826="L",C826="S",C826="I"),-1,1)</f>
        <v>0</v>
      </c>
      <c r="AY826" s="487" t="s">
        <v>337</v>
      </c>
      <c r="AZ826" s="487">
        <f>+VLOOKUP($AJ826,Data_Validation!$A:$E,5,0)</f>
        <v>0</v>
      </c>
    </row>
    <row r="827" spans="1:52" ht="15" hidden="1" customHeight="1">
      <c r="A827" s="706" t="s">
        <v>1148</v>
      </c>
      <c r="B827" s="706">
        <v>2025</v>
      </c>
      <c r="C827" s="706" t="s">
        <v>2954</v>
      </c>
      <c r="D827" s="706" t="s">
        <v>2955</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3"/>
        <v>G68800</v>
      </c>
      <c r="AK827" s="905" t="str">
        <f t="shared" si="84"/>
        <v>RECTIFIC.STOCK PIECES</v>
      </c>
      <c r="AL827" s="905">
        <f>IFERROR(INDEX(G827:R827,1,MATCH(Parametres!$B$3,G$1:R$1,0)-1)*IF(OR(F827="L",F827="S",F827="I"),-1,1),"")</f>
        <v>-24313.48</v>
      </c>
      <c r="AM827" s="905">
        <f t="shared" si="85"/>
        <v>-7051.6500000000015</v>
      </c>
      <c r="AN827" s="905">
        <f>INDEX(G827:R827,1,MATCH(Parametres!$B$3,G$1:R$1,0))*IF(OR(F827="L",F827="S",F827="I"),-1,1)</f>
        <v>-31365.13</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86"/>
        <v>G68800</v>
      </c>
      <c r="AU827" s="488" t="str">
        <f t="shared" si="87"/>
        <v>RECTIFIC.STOCK PIECES</v>
      </c>
      <c r="AV827" s="899">
        <f>IFERROR(INDEX(V827:AG827,1,MATCH(Parametres!$B$3,V$1:AG$1,0)-1)*IF(OR(C827="L",C827="S",C827="I"),-1,1),"")</f>
        <v>0</v>
      </c>
      <c r="AW827" s="899">
        <f t="shared" si="88"/>
        <v>0</v>
      </c>
      <c r="AX827" s="899">
        <f>INDEX(V827:AG827,1,MATCH(Parametres!$B$3,V$1:AG$1,0))*IF(OR(C827="L",C827="S",C827="I"),-1,1)</f>
        <v>0</v>
      </c>
      <c r="AY827" s="487" t="s">
        <v>337</v>
      </c>
      <c r="AZ827" s="487">
        <f>+VLOOKUP($AJ827,Data_Validation!$A:$E,5,0)</f>
        <v>0</v>
      </c>
    </row>
    <row r="828" spans="1:52" ht="15" hidden="1" customHeight="1">
      <c r="A828" s="706" t="s">
        <v>1148</v>
      </c>
      <c r="B828" s="706">
        <v>2025</v>
      </c>
      <c r="C828" s="706" t="s">
        <v>2956</v>
      </c>
      <c r="D828" s="706" t="s">
        <v>2957</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3"/>
        <v>G69000</v>
      </c>
      <c r="AK828" s="905" t="str">
        <f t="shared" si="84"/>
        <v>COUT-PNEUS VENDUS</v>
      </c>
      <c r="AL828" s="905">
        <f>IFERROR(INDEX(G828:R828,1,MATCH(Parametres!$B$3,G$1:R$1,0)-1)*IF(OR(F828="L",F828="S",F828="I"),-1,1),"")</f>
        <v>88128.33</v>
      </c>
      <c r="AM828" s="905">
        <f t="shared" si="85"/>
        <v>39473.149999999994</v>
      </c>
      <c r="AN828" s="905">
        <f>INDEX(G828:R828,1,MATCH(Parametres!$B$3,G$1:R$1,0))*IF(OR(F828="L",F828="S",F828="I"),-1,1)</f>
        <v>127601.48</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86"/>
        <v>G69000</v>
      </c>
      <c r="AU828" s="488" t="str">
        <f t="shared" si="87"/>
        <v>COUT-PNEUS VENDUS</v>
      </c>
      <c r="AV828" s="899">
        <f>IFERROR(INDEX(V828:AG828,1,MATCH(Parametres!$B$3,V$1:AG$1,0)-1)*IF(OR(C828="L",C828="S",C828="I"),-1,1),"")</f>
        <v>0</v>
      </c>
      <c r="AW828" s="899">
        <f t="shared" si="88"/>
        <v>0</v>
      </c>
      <c r="AX828" s="899">
        <f>INDEX(V828:AG828,1,MATCH(Parametres!$B$3,V$1:AG$1,0))*IF(OR(C828="L",C828="S",C828="I"),-1,1)</f>
        <v>0</v>
      </c>
      <c r="AY828" s="487" t="s">
        <v>337</v>
      </c>
      <c r="AZ828" s="487">
        <f>+VLOOKUP($AJ828,Data_Validation!$A:$E,5,0)</f>
        <v>0</v>
      </c>
    </row>
    <row r="829" spans="1:52" ht="15" hidden="1" customHeight="1">
      <c r="A829" s="706" t="s">
        <v>1148</v>
      </c>
      <c r="B829" s="706">
        <v>2025</v>
      </c>
      <c r="C829" s="706" t="s">
        <v>2958</v>
      </c>
      <c r="D829" s="706" t="s">
        <v>2959</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3"/>
        <v>G69100</v>
      </c>
      <c r="AK829" s="905" t="str">
        <f t="shared" si="84"/>
        <v>COUT-HUILES &amp; GRAISSE</v>
      </c>
      <c r="AL829" s="905">
        <f>IFERROR(INDEX(G829:R829,1,MATCH(Parametres!$B$3,G$1:R$1,0)-1)*IF(OR(F829="L",F829="S",F829="I"),-1,1),"")</f>
        <v>54016.72</v>
      </c>
      <c r="AM829" s="905">
        <f t="shared" si="85"/>
        <v>8411.0800000000017</v>
      </c>
      <c r="AN829" s="905">
        <f>INDEX(G829:R829,1,MATCH(Parametres!$B$3,G$1:R$1,0))*IF(OR(F829="L",F829="S",F829="I"),-1,1)</f>
        <v>62427.8</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86"/>
        <v>G69100</v>
      </c>
      <c r="AU829" s="488" t="str">
        <f t="shared" si="87"/>
        <v>COUT-HUILES &amp; GRAISSE</v>
      </c>
      <c r="AV829" s="899">
        <f>IFERROR(INDEX(V829:AG829,1,MATCH(Parametres!$B$3,V$1:AG$1,0)-1)*IF(OR(C829="L",C829="S",C829="I"),-1,1),"")</f>
        <v>0</v>
      </c>
      <c r="AW829" s="899">
        <f t="shared" si="88"/>
        <v>0</v>
      </c>
      <c r="AX829" s="899">
        <f>INDEX(V829:AG829,1,MATCH(Parametres!$B$3,V$1:AG$1,0))*IF(OR(C829="L",C829="S",C829="I"),-1,1)</f>
        <v>0</v>
      </c>
      <c r="AY829" s="487" t="s">
        <v>337</v>
      </c>
      <c r="AZ829" s="487">
        <f>+VLOOKUP($AJ829,Data_Validation!$A:$E,5,0)</f>
        <v>0</v>
      </c>
    </row>
    <row r="830" spans="1:52" ht="15" customHeight="1">
      <c r="A830" s="706" t="s">
        <v>1148</v>
      </c>
      <c r="B830" s="706">
        <v>2025</v>
      </c>
      <c r="C830" s="706" t="s">
        <v>2960</v>
      </c>
      <c r="D830" s="706" t="s">
        <v>2961</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3"/>
        <v>G711</v>
      </c>
      <c r="AK830" s="905" t="str">
        <f t="shared" si="84"/>
        <v>INTERETS          -SIMPLE</v>
      </c>
      <c r="AL830" s="905">
        <f>IFERROR(INDEX(G830:R830,1,MATCH(Parametres!$B$3,G$1:R$1,0)-1)*IF(OR(F830="L",F830="S",F830="I"),-1,1),"")</f>
        <v>0</v>
      </c>
      <c r="AM830" s="905">
        <f t="shared" si="8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86"/>
        <v>G711</v>
      </c>
      <c r="AU830" s="488" t="str">
        <f t="shared" si="87"/>
        <v>INTERETS          -SIMPLE</v>
      </c>
      <c r="AV830" s="899">
        <f>IFERROR(INDEX(V830:AG830,1,MATCH(Parametres!$B$3,V$1:AG$1,0)-1)*IF(OR(C830="L",C830="S",C830="I"),-1,1),"")</f>
        <v>0</v>
      </c>
      <c r="AW830" s="899">
        <f t="shared" si="88"/>
        <v>0</v>
      </c>
      <c r="AX830" s="899">
        <f>INDEX(V830:AG830,1,MATCH(Parametres!$B$3,V$1:AG$1,0))*IF(OR(C830="L",C830="S",C830="I"),-1,1)</f>
        <v>0</v>
      </c>
      <c r="AY830" s="487" t="s">
        <v>337</v>
      </c>
      <c r="AZ830" s="487" t="e">
        <f>+VLOOKUP($AJ830,Data_Validation!$A:$E,5,0)</f>
        <v>#N/A</v>
      </c>
    </row>
    <row r="831" spans="1:52" ht="15" customHeight="1">
      <c r="A831" s="706" t="s">
        <v>1148</v>
      </c>
      <c r="B831" s="706">
        <v>2025</v>
      </c>
      <c r="C831" s="706" t="s">
        <v>2962</v>
      </c>
      <c r="D831" s="706" t="s">
        <v>2963</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3"/>
        <v>G712</v>
      </c>
      <c r="AK831" s="905" t="str">
        <f t="shared" si="84"/>
        <v>AMORTISSEMENT     -SIMPLE</v>
      </c>
      <c r="AL831" s="905">
        <f>IFERROR(INDEX(G831:R831,1,MATCH(Parametres!$B$3,G$1:R$1,0)-1)*IF(OR(F831="L",F831="S",F831="I"),-1,1),"")</f>
        <v>0</v>
      </c>
      <c r="AM831" s="905">
        <f t="shared" si="8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6"/>
        <v>G712</v>
      </c>
      <c r="AU831" s="488" t="str">
        <f t="shared" si="87"/>
        <v>AMORTISSEMENT     -SIMPLE</v>
      </c>
      <c r="AV831" s="899">
        <f>IFERROR(INDEX(V831:AG831,1,MATCH(Parametres!$B$3,V$1:AG$1,0)-1)*IF(OR(C831="L",C831="S",C831="I"),-1,1),"")</f>
        <v>0</v>
      </c>
      <c r="AW831" s="899">
        <f t="shared" si="88"/>
        <v>0</v>
      </c>
      <c r="AX831" s="899">
        <f>INDEX(V831:AG831,1,MATCH(Parametres!$B$3,V$1:AG$1,0))*IF(OR(C831="L",C831="S",C831="I"),-1,1)</f>
        <v>0</v>
      </c>
      <c r="AY831" s="487" t="s">
        <v>337</v>
      </c>
      <c r="AZ831" s="487" t="e">
        <f>+VLOOKUP($AJ831,Data_Validation!$A:$E,5,0)</f>
        <v>#N/A</v>
      </c>
    </row>
    <row r="832" spans="1:52" ht="15" customHeight="1">
      <c r="A832" s="706" t="s">
        <v>1148</v>
      </c>
      <c r="B832" s="706">
        <v>2025</v>
      </c>
      <c r="C832" s="706" t="s">
        <v>2964</v>
      </c>
      <c r="D832" s="706" t="s">
        <v>2965</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3"/>
        <v>G713</v>
      </c>
      <c r="AK832" s="905" t="str">
        <f t="shared" si="84"/>
        <v>ASSUR.VEH EN SERV.-SIMPLE</v>
      </c>
      <c r="AL832" s="905">
        <f>IFERROR(INDEX(G832:R832,1,MATCH(Parametres!$B$3,G$1:R$1,0)-1)*IF(OR(F832="L",F832="S",F832="I"),-1,1),"")</f>
        <v>0</v>
      </c>
      <c r="AM832" s="905">
        <f t="shared" si="8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86"/>
        <v>G713</v>
      </c>
      <c r="AU832" s="488" t="str">
        <f t="shared" si="87"/>
        <v>ASSUR.VEH EN SERV.-SIMPLE</v>
      </c>
      <c r="AV832" s="899">
        <f>IFERROR(INDEX(V832:AG832,1,MATCH(Parametres!$B$3,V$1:AG$1,0)-1)*IF(OR(C832="L",C832="S",C832="I"),-1,1),"")</f>
        <v>0</v>
      </c>
      <c r="AW832" s="899">
        <f t="shared" si="88"/>
        <v>0</v>
      </c>
      <c r="AX832" s="899">
        <f>INDEX(V832:AG832,1,MATCH(Parametres!$B$3,V$1:AG$1,0))*IF(OR(C832="L",C832="S",C832="I"),-1,1)</f>
        <v>0</v>
      </c>
      <c r="AY832" s="487" t="s">
        <v>337</v>
      </c>
      <c r="AZ832" s="487" t="e">
        <f>+VLOOKUP($AJ832,Data_Validation!$A:$E,5,0)</f>
        <v>#N/A</v>
      </c>
    </row>
    <row r="833" spans="1:52" ht="15" customHeight="1">
      <c r="A833" s="706" t="s">
        <v>1148</v>
      </c>
      <c r="B833" s="706">
        <v>2025</v>
      </c>
      <c r="C833" s="706" t="s">
        <v>2966</v>
      </c>
      <c r="D833" s="706" t="s">
        <v>2967</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3"/>
        <v>G714</v>
      </c>
      <c r="AK833" s="905" t="str">
        <f t="shared" si="84"/>
        <v>PLAQUE,TITRE,TAXES-SIMPLE</v>
      </c>
      <c r="AL833" s="905">
        <f>IFERROR(INDEX(G833:R833,1,MATCH(Parametres!$B$3,G$1:R$1,0)-1)*IF(OR(F833="L",F833="S",F833="I"),-1,1),"")</f>
        <v>0</v>
      </c>
      <c r="AM833" s="905">
        <f t="shared" si="8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86"/>
        <v>G714</v>
      </c>
      <c r="AU833" s="488" t="str">
        <f t="shared" si="87"/>
        <v>PLAQUE,TITRE,TAXES-SIMPLE</v>
      </c>
      <c r="AV833" s="899">
        <f>IFERROR(INDEX(V833:AG833,1,MATCH(Parametres!$B$3,V$1:AG$1,0)-1)*IF(OR(C833="L",C833="S",C833="I"),-1,1),"")</f>
        <v>0</v>
      </c>
      <c r="AW833" s="899">
        <f t="shared" si="88"/>
        <v>0</v>
      </c>
      <c r="AX833" s="899">
        <f>INDEX(V833:AG833,1,MATCH(Parametres!$B$3,V$1:AG$1,0))*IF(OR(C833="L",C833="S",C833="I"),-1,1)</f>
        <v>0</v>
      </c>
      <c r="AY833" s="487" t="s">
        <v>337</v>
      </c>
      <c r="AZ833" s="487" t="e">
        <f>+VLOOKUP($AJ833,Data_Validation!$A:$E,5,0)</f>
        <v>#N/A</v>
      </c>
    </row>
    <row r="834" spans="1:52" ht="15" customHeight="1">
      <c r="A834" s="706" t="s">
        <v>1148</v>
      </c>
      <c r="B834" s="706">
        <v>2025</v>
      </c>
      <c r="C834" s="706" t="s">
        <v>2968</v>
      </c>
      <c r="D834" s="706" t="s">
        <v>2969</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3"/>
        <v>G715</v>
      </c>
      <c r="AK834" s="905" t="str">
        <f t="shared" si="84"/>
        <v>TRAVAUX GRACIEUX  -SIMPLE</v>
      </c>
      <c r="AL834" s="905">
        <f>IFERROR(INDEX(G834:R834,1,MATCH(Parametres!$B$3,G$1:R$1,0)-1)*IF(OR(F834="L",F834="S",F834="I"),-1,1),"")</f>
        <v>0</v>
      </c>
      <c r="AM834" s="905">
        <f t="shared" si="8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6"/>
        <v>G715</v>
      </c>
      <c r="AU834" s="488" t="str">
        <f t="shared" si="87"/>
        <v>TRAVAUX GRACIEUX  -SIMPLE</v>
      </c>
      <c r="AV834" s="899">
        <f>IFERROR(INDEX(V834:AG834,1,MATCH(Parametres!$B$3,V$1:AG$1,0)-1)*IF(OR(C834="L",C834="S",C834="I"),-1,1),"")</f>
        <v>0</v>
      </c>
      <c r="AW834" s="899">
        <f t="shared" si="88"/>
        <v>0</v>
      </c>
      <c r="AX834" s="899">
        <f>INDEX(V834:AG834,1,MATCH(Parametres!$B$3,V$1:AG$1,0))*IF(OR(C834="L",C834="S",C834="I"),-1,1)</f>
        <v>0</v>
      </c>
      <c r="AY834" s="487" t="s">
        <v>337</v>
      </c>
      <c r="AZ834" s="487" t="e">
        <f>+VLOOKUP($AJ834,Data_Validation!$A:$E,5,0)</f>
        <v>#N/A</v>
      </c>
    </row>
    <row r="835" spans="1:52" ht="15" customHeight="1">
      <c r="A835" s="706" t="s">
        <v>1148</v>
      </c>
      <c r="B835" s="706">
        <v>2025</v>
      </c>
      <c r="C835" s="706" t="s">
        <v>2970</v>
      </c>
      <c r="D835" s="706" t="s">
        <v>2971</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3"/>
        <v>G716</v>
      </c>
      <c r="AK835" s="905" t="str">
        <f t="shared" si="84"/>
        <v>REPAR.&amp; ENTRETIEN -SIMPLE</v>
      </c>
      <c r="AL835" s="905">
        <f>IFERROR(INDEX(G835:R835,1,MATCH(Parametres!$B$3,G$1:R$1,0)-1)*IF(OR(F835="L",F835="S",F835="I"),-1,1),"")</f>
        <v>0</v>
      </c>
      <c r="AM835" s="905">
        <f t="shared" si="8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6"/>
        <v>G716</v>
      </c>
      <c r="AU835" s="488" t="str">
        <f t="shared" si="87"/>
        <v>REPAR.&amp; ENTRETIEN -SIMPLE</v>
      </c>
      <c r="AV835" s="899">
        <f>IFERROR(INDEX(V835:AG835,1,MATCH(Parametres!$B$3,V$1:AG$1,0)-1)*IF(OR(C835="L",C835="S",C835="I"),-1,1),"")</f>
        <v>0</v>
      </c>
      <c r="AW835" s="899">
        <f t="shared" si="88"/>
        <v>0</v>
      </c>
      <c r="AX835" s="899">
        <f>INDEX(V835:AG835,1,MATCH(Parametres!$B$3,V$1:AG$1,0))*IF(OR(C835="L",C835="S",C835="I"),-1,1)</f>
        <v>0</v>
      </c>
      <c r="AY835" s="487" t="s">
        <v>337</v>
      </c>
      <c r="AZ835" s="487" t="e">
        <f>+VLOOKUP($AJ835,Data_Validation!$A:$E,5,0)</f>
        <v>#N/A</v>
      </c>
    </row>
    <row r="836" spans="1:52" ht="15" customHeight="1">
      <c r="A836" s="706" t="s">
        <v>1148</v>
      </c>
      <c r="B836" s="706">
        <v>2025</v>
      </c>
      <c r="C836" s="706" t="s">
        <v>2972</v>
      </c>
      <c r="D836" s="706" t="s">
        <v>2973</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3"/>
        <v>G717</v>
      </c>
      <c r="AK836" s="905" t="str">
        <f t="shared" si="84"/>
        <v>PRIX LOC.UNIT.S-LOUE-SIMP</v>
      </c>
      <c r="AL836" s="905">
        <f>IFERROR(INDEX(G836:R836,1,MATCH(Parametres!$B$3,G$1:R$1,0)-1)*IF(OR(F836="L",F836="S",F836="I"),-1,1),"")</f>
        <v>0</v>
      </c>
      <c r="AM836" s="905">
        <f t="shared" si="8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86"/>
        <v>G717</v>
      </c>
      <c r="AU836" s="488" t="str">
        <f t="shared" si="87"/>
        <v>PRIX LOC.UNIT.S-LOUE-SIMP</v>
      </c>
      <c r="AV836" s="899">
        <f>IFERROR(INDEX(V836:AG836,1,MATCH(Parametres!$B$3,V$1:AG$1,0)-1)*IF(OR(C836="L",C836="S",C836="I"),-1,1),"")</f>
        <v>0</v>
      </c>
      <c r="AW836" s="899">
        <f t="shared" si="88"/>
        <v>0</v>
      </c>
      <c r="AX836" s="899">
        <f>INDEX(V836:AG836,1,MATCH(Parametres!$B$3,V$1:AG$1,0))*IF(OR(C836="L",C836="S",C836="I"),-1,1)</f>
        <v>0</v>
      </c>
      <c r="AY836" s="487" t="s">
        <v>337</v>
      </c>
      <c r="AZ836" s="487" t="e">
        <f>+VLOOKUP($AJ836,Data_Validation!$A:$E,5,0)</f>
        <v>#N/A</v>
      </c>
    </row>
    <row r="837" spans="1:52" ht="15" customHeight="1">
      <c r="A837" s="706" t="s">
        <v>1148</v>
      </c>
      <c r="B837" s="706">
        <v>2025</v>
      </c>
      <c r="C837" s="706" t="s">
        <v>2974</v>
      </c>
      <c r="D837" s="706" t="s">
        <v>2975</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3"/>
        <v>G718</v>
      </c>
      <c r="AK837" s="905" t="str">
        <f t="shared" si="84"/>
        <v>AUTRES            -SIMPLE</v>
      </c>
      <c r="AL837" s="905">
        <f>IFERROR(INDEX(G837:R837,1,MATCH(Parametres!$B$3,G$1:R$1,0)-1)*IF(OR(F837="L",F837="S",F837="I"),-1,1),"")</f>
        <v>0</v>
      </c>
      <c r="AM837" s="905">
        <f t="shared" si="8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86"/>
        <v>G718</v>
      </c>
      <c r="AU837" s="488" t="str">
        <f t="shared" si="87"/>
        <v>AUTRES            -SIMPLE</v>
      </c>
      <c r="AV837" s="899">
        <f>IFERROR(INDEX(V837:AG837,1,MATCH(Parametres!$B$3,V$1:AG$1,0)-1)*IF(OR(C837="L",C837="S",C837="I"),-1,1),"")</f>
        <v>0</v>
      </c>
      <c r="AW837" s="899">
        <f t="shared" si="88"/>
        <v>0</v>
      </c>
      <c r="AX837" s="899">
        <f>INDEX(V837:AG837,1,MATCH(Parametres!$B$3,V$1:AG$1,0))*IF(OR(C837="L",C837="S",C837="I"),-1,1)</f>
        <v>0</v>
      </c>
      <c r="AY837" s="487" t="s">
        <v>337</v>
      </c>
      <c r="AZ837" s="487" t="e">
        <f>+VLOOKUP($AJ837,Data_Validation!$A:$E,5,0)</f>
        <v>#N/A</v>
      </c>
    </row>
    <row r="838" spans="1:52" ht="15" customHeight="1">
      <c r="A838" s="706" t="s">
        <v>1148</v>
      </c>
      <c r="B838" s="706">
        <v>2025</v>
      </c>
      <c r="C838" s="706" t="s">
        <v>2976</v>
      </c>
      <c r="D838" s="706" t="s">
        <v>2977</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3"/>
        <v>G721</v>
      </c>
      <c r="AK838" s="905" t="str">
        <f t="shared" si="84"/>
        <v>INTERETS          -ALEATO</v>
      </c>
      <c r="AL838" s="905">
        <f>IFERROR(INDEX(G838:R838,1,MATCH(Parametres!$B$3,G$1:R$1,0)-1)*IF(OR(F838="L",F838="S",F838="I"),-1,1),"")</f>
        <v>0</v>
      </c>
      <c r="AM838" s="905">
        <f t="shared" si="8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86"/>
        <v>G721</v>
      </c>
      <c r="AU838" s="488" t="str">
        <f t="shared" si="87"/>
        <v>INTERETS          -ALEATO</v>
      </c>
      <c r="AV838" s="899">
        <f>IFERROR(INDEX(V838:AG838,1,MATCH(Parametres!$B$3,V$1:AG$1,0)-1)*IF(OR(C838="L",C838="S",C838="I"),-1,1),"")</f>
        <v>0</v>
      </c>
      <c r="AW838" s="899">
        <f t="shared" si="88"/>
        <v>0</v>
      </c>
      <c r="AX838" s="899">
        <f>INDEX(V838:AG838,1,MATCH(Parametres!$B$3,V$1:AG$1,0))*IF(OR(C838="L",C838="S",C838="I"),-1,1)</f>
        <v>0</v>
      </c>
      <c r="AY838" s="487" t="s">
        <v>337</v>
      </c>
      <c r="AZ838" s="487" t="e">
        <f>+VLOOKUP($AJ838,Data_Validation!$A:$E,5,0)</f>
        <v>#N/A</v>
      </c>
    </row>
    <row r="839" spans="1:52" ht="15" customHeight="1">
      <c r="A839" s="706" t="s">
        <v>1148</v>
      </c>
      <c r="B839" s="706">
        <v>2025</v>
      </c>
      <c r="C839" s="706" t="s">
        <v>2978</v>
      </c>
      <c r="D839" s="706" t="s">
        <v>2979</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3"/>
        <v>G722</v>
      </c>
      <c r="AK839" s="905" t="str">
        <f t="shared" si="84"/>
        <v>AMORTISSEMENT     -ALEATO</v>
      </c>
      <c r="AL839" s="905">
        <f>IFERROR(INDEX(G839:R839,1,MATCH(Parametres!$B$3,G$1:R$1,0)-1)*IF(OR(F839="L",F839="S",F839="I"),-1,1),"")</f>
        <v>0</v>
      </c>
      <c r="AM839" s="905">
        <f t="shared" si="8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86"/>
        <v>G722</v>
      </c>
      <c r="AU839" s="488" t="str">
        <f t="shared" si="87"/>
        <v>AMORTISSEMENT     -ALEATO</v>
      </c>
      <c r="AV839" s="899">
        <f>IFERROR(INDEX(V839:AG839,1,MATCH(Parametres!$B$3,V$1:AG$1,0)-1)*IF(OR(C839="L",C839="S",C839="I"),-1,1),"")</f>
        <v>0</v>
      </c>
      <c r="AW839" s="899">
        <f t="shared" si="88"/>
        <v>0</v>
      </c>
      <c r="AX839" s="899">
        <f>INDEX(V839:AG839,1,MATCH(Parametres!$B$3,V$1:AG$1,0))*IF(OR(C839="L",C839="S",C839="I"),-1,1)</f>
        <v>0</v>
      </c>
      <c r="AY839" s="487" t="s">
        <v>337</v>
      </c>
      <c r="AZ839" s="487" t="e">
        <f>+VLOOKUP($AJ839,Data_Validation!$A:$E,5,0)</f>
        <v>#N/A</v>
      </c>
    </row>
    <row r="840" spans="1:52" ht="15" customHeight="1">
      <c r="A840" s="706" t="s">
        <v>1148</v>
      </c>
      <c r="B840" s="706">
        <v>2025</v>
      </c>
      <c r="C840" s="706" t="s">
        <v>2980</v>
      </c>
      <c r="D840" s="706" t="s">
        <v>2981</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3"/>
        <v>G723</v>
      </c>
      <c r="AK840" s="905" t="str">
        <f t="shared" si="84"/>
        <v>ASSUR.VEH EN SERV.-ALEATO</v>
      </c>
      <c r="AL840" s="905">
        <f>IFERROR(INDEX(G840:R840,1,MATCH(Parametres!$B$3,G$1:R$1,0)-1)*IF(OR(F840="L",F840="S",F840="I"),-1,1),"")</f>
        <v>0</v>
      </c>
      <c r="AM840" s="905">
        <f t="shared" si="8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86"/>
        <v>G723</v>
      </c>
      <c r="AU840" s="488" t="str">
        <f t="shared" si="87"/>
        <v>ASSUR.VEH EN SERV.-ALEATO</v>
      </c>
      <c r="AV840" s="899">
        <f>IFERROR(INDEX(V840:AG840,1,MATCH(Parametres!$B$3,V$1:AG$1,0)-1)*IF(OR(C840="L",C840="S",C840="I"),-1,1),"")</f>
        <v>0</v>
      </c>
      <c r="AW840" s="899">
        <f t="shared" si="88"/>
        <v>0</v>
      </c>
      <c r="AX840" s="899">
        <f>INDEX(V840:AG840,1,MATCH(Parametres!$B$3,V$1:AG$1,0))*IF(OR(C840="L",C840="S",C840="I"),-1,1)</f>
        <v>0</v>
      </c>
      <c r="AY840" s="487" t="s">
        <v>337</v>
      </c>
      <c r="AZ840" s="487" t="e">
        <f>+VLOOKUP($AJ840,Data_Validation!$A:$E,5,0)</f>
        <v>#N/A</v>
      </c>
    </row>
    <row r="841" spans="1:52" ht="15" customHeight="1">
      <c r="A841" s="706" t="s">
        <v>1148</v>
      </c>
      <c r="B841" s="706">
        <v>2025</v>
      </c>
      <c r="C841" s="706" t="s">
        <v>2982</v>
      </c>
      <c r="D841" s="706" t="s">
        <v>2983</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3"/>
        <v>G724</v>
      </c>
      <c r="AK841" s="905" t="str">
        <f t="shared" si="84"/>
        <v>PLAQUE,TITRE,TAXES-ALEATO</v>
      </c>
      <c r="AL841" s="905">
        <f>IFERROR(INDEX(G841:R841,1,MATCH(Parametres!$B$3,G$1:R$1,0)-1)*IF(OR(F841="L",F841="S",F841="I"),-1,1),"")</f>
        <v>0</v>
      </c>
      <c r="AM841" s="905">
        <f t="shared" si="8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86"/>
        <v>G724</v>
      </c>
      <c r="AU841" s="488" t="str">
        <f t="shared" si="87"/>
        <v>PLAQUE,TITRE,TAXES-ALEATO</v>
      </c>
      <c r="AV841" s="899">
        <f>IFERROR(INDEX(V841:AG841,1,MATCH(Parametres!$B$3,V$1:AG$1,0)-1)*IF(OR(C841="L",C841="S",C841="I"),-1,1),"")</f>
        <v>0</v>
      </c>
      <c r="AW841" s="899">
        <f t="shared" si="88"/>
        <v>0</v>
      </c>
      <c r="AX841" s="899">
        <f>INDEX(V841:AG841,1,MATCH(Parametres!$B$3,V$1:AG$1,0))*IF(OR(C841="L",C841="S",C841="I"),-1,1)</f>
        <v>0</v>
      </c>
      <c r="AY841" s="487" t="s">
        <v>337</v>
      </c>
      <c r="AZ841" s="487" t="e">
        <f>+VLOOKUP($AJ841,Data_Validation!$A:$E,5,0)</f>
        <v>#N/A</v>
      </c>
    </row>
    <row r="842" spans="1:52" ht="15" customHeight="1">
      <c r="A842" s="706" t="s">
        <v>1148</v>
      </c>
      <c r="B842" s="706">
        <v>2025</v>
      </c>
      <c r="C842" s="706" t="s">
        <v>2984</v>
      </c>
      <c r="D842" s="706" t="s">
        <v>2985</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3"/>
        <v>G72402</v>
      </c>
      <c r="AK842" s="905" t="str">
        <f t="shared" si="84"/>
        <v>ENTRETIEN COURT TERME</v>
      </c>
      <c r="AL842" s="905">
        <f>IFERROR(INDEX(G842:R842,1,MATCH(Parametres!$B$3,G$1:R$1,0)-1)*IF(OR(F842="L",F842="S",F842="I"),-1,1),"")</f>
        <v>0</v>
      </c>
      <c r="AM842" s="905">
        <f t="shared" si="8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86"/>
        <v>G72402</v>
      </c>
      <c r="AU842" s="488" t="str">
        <f t="shared" si="87"/>
        <v>ENTRETIEN COURT TERME</v>
      </c>
      <c r="AV842" s="899">
        <f>IFERROR(INDEX(V842:AG842,1,MATCH(Parametres!$B$3,V$1:AG$1,0)-1)*IF(OR(C842="L",C842="S",C842="I"),-1,1),"")</f>
        <v>0</v>
      </c>
      <c r="AW842" s="899">
        <f t="shared" si="88"/>
        <v>0</v>
      </c>
      <c r="AX842" s="899">
        <f>INDEX(V842:AG842,1,MATCH(Parametres!$B$3,V$1:AG$1,0))*IF(OR(C842="L",C842="S",C842="I"),-1,1)</f>
        <v>0</v>
      </c>
      <c r="AY842" s="487" t="s">
        <v>337</v>
      </c>
      <c r="AZ842" s="487" t="e">
        <f>+VLOOKUP($AJ842,Data_Validation!$A:$E,5,0)</f>
        <v>#N/A</v>
      </c>
    </row>
    <row r="843" spans="1:52" ht="15" customHeight="1">
      <c r="A843" s="706" t="s">
        <v>1148</v>
      </c>
      <c r="B843" s="706">
        <v>2025</v>
      </c>
      <c r="C843" s="706" t="s">
        <v>2986</v>
      </c>
      <c r="D843" s="706" t="s">
        <v>2987</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3"/>
        <v>G725</v>
      </c>
      <c r="AK843" s="905" t="str">
        <f t="shared" si="84"/>
        <v>TRAVAUX GRACIEUX  -ALEATO</v>
      </c>
      <c r="AL843" s="905">
        <f>IFERROR(INDEX(G843:R843,1,MATCH(Parametres!$B$3,G$1:R$1,0)-1)*IF(OR(F843="L",F843="S",F843="I"),-1,1),"")</f>
        <v>0</v>
      </c>
      <c r="AM843" s="905">
        <f t="shared" si="8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86"/>
        <v>G725</v>
      </c>
      <c r="AU843" s="488" t="str">
        <f t="shared" si="87"/>
        <v>TRAVAUX GRACIEUX  -ALEATO</v>
      </c>
      <c r="AV843" s="899">
        <f>IFERROR(INDEX(V843:AG843,1,MATCH(Parametres!$B$3,V$1:AG$1,0)-1)*IF(OR(C843="L",C843="S",C843="I"),-1,1),"")</f>
        <v>0</v>
      </c>
      <c r="AW843" s="899">
        <f t="shared" si="88"/>
        <v>0</v>
      </c>
      <c r="AX843" s="899">
        <f>INDEX(V843:AG843,1,MATCH(Parametres!$B$3,V$1:AG$1,0))*IF(OR(C843="L",C843="S",C843="I"),-1,1)</f>
        <v>0</v>
      </c>
      <c r="AY843" s="487" t="s">
        <v>337</v>
      </c>
      <c r="AZ843" s="487" t="e">
        <f>+VLOOKUP($AJ843,Data_Validation!$A:$E,5,0)</f>
        <v>#N/A</v>
      </c>
    </row>
    <row r="844" spans="1:52" ht="15" customHeight="1">
      <c r="A844" s="706" t="s">
        <v>1148</v>
      </c>
      <c r="B844" s="706">
        <v>2025</v>
      </c>
      <c r="C844" s="706" t="s">
        <v>2988</v>
      </c>
      <c r="D844" s="706" t="s">
        <v>2989</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3"/>
        <v>G726</v>
      </c>
      <c r="AK844" s="905" t="str">
        <f t="shared" si="84"/>
        <v>REPAR.&amp; ENTRETIEN -ALEATO</v>
      </c>
      <c r="AL844" s="905">
        <f>IFERROR(INDEX(G844:R844,1,MATCH(Parametres!$B$3,G$1:R$1,0)-1)*IF(OR(F844="L",F844="S",F844="I"),-1,1),"")</f>
        <v>0</v>
      </c>
      <c r="AM844" s="905">
        <f t="shared" si="8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86"/>
        <v>G726</v>
      </c>
      <c r="AU844" s="488" t="str">
        <f t="shared" si="87"/>
        <v>REPAR.&amp; ENTRETIEN -ALEATO</v>
      </c>
      <c r="AV844" s="899">
        <f>IFERROR(INDEX(V844:AG844,1,MATCH(Parametres!$B$3,V$1:AG$1,0)-1)*IF(OR(C844="L",C844="S",C844="I"),-1,1),"")</f>
        <v>0</v>
      </c>
      <c r="AW844" s="899">
        <f t="shared" si="88"/>
        <v>0</v>
      </c>
      <c r="AX844" s="899">
        <f>INDEX(V844:AG844,1,MATCH(Parametres!$B$3,V$1:AG$1,0))*IF(OR(C844="L",C844="S",C844="I"),-1,1)</f>
        <v>0</v>
      </c>
      <c r="AY844" s="487" t="s">
        <v>337</v>
      </c>
      <c r="AZ844" s="487" t="e">
        <f>+VLOOKUP($AJ844,Data_Validation!$A:$E,5,0)</f>
        <v>#N/A</v>
      </c>
    </row>
    <row r="845" spans="1:52" ht="15" customHeight="1">
      <c r="A845" s="706" t="s">
        <v>1148</v>
      </c>
      <c r="B845" s="706">
        <v>2025</v>
      </c>
      <c r="C845" s="706" t="s">
        <v>2990</v>
      </c>
      <c r="D845" s="706" t="s">
        <v>2991</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3"/>
        <v>G727</v>
      </c>
      <c r="AK845" s="905" t="str">
        <f t="shared" si="84"/>
        <v>PRIX LOC.UNIT.S-LOUE-ALEA</v>
      </c>
      <c r="AL845" s="905">
        <f>IFERROR(INDEX(G845:R845,1,MATCH(Parametres!$B$3,G$1:R$1,0)-1)*IF(OR(F845="L",F845="S",F845="I"),-1,1),"")</f>
        <v>0</v>
      </c>
      <c r="AM845" s="905">
        <f t="shared" si="8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86"/>
        <v>G727</v>
      </c>
      <c r="AU845" s="488" t="str">
        <f t="shared" si="87"/>
        <v>PRIX LOC.UNIT.S-LOUE-ALEA</v>
      </c>
      <c r="AV845" s="899">
        <f>IFERROR(INDEX(V845:AG845,1,MATCH(Parametres!$B$3,V$1:AG$1,0)-1)*IF(OR(C845="L",C845="S",C845="I"),-1,1),"")</f>
        <v>0</v>
      </c>
      <c r="AW845" s="899">
        <f t="shared" si="88"/>
        <v>0</v>
      </c>
      <c r="AX845" s="899">
        <f>INDEX(V845:AG845,1,MATCH(Parametres!$B$3,V$1:AG$1,0))*IF(OR(C845="L",C845="S",C845="I"),-1,1)</f>
        <v>0</v>
      </c>
      <c r="AY845" s="487" t="s">
        <v>337</v>
      </c>
      <c r="AZ845" s="487" t="e">
        <f>+VLOOKUP($AJ845,Data_Validation!$A:$E,5,0)</f>
        <v>#N/A</v>
      </c>
    </row>
    <row r="846" spans="1:52" ht="15" customHeight="1">
      <c r="A846" s="706" t="s">
        <v>1148</v>
      </c>
      <c r="B846" s="706">
        <v>2025</v>
      </c>
      <c r="C846" s="706" t="s">
        <v>2992</v>
      </c>
      <c r="D846" s="706" t="s">
        <v>2993</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3"/>
        <v>G728</v>
      </c>
      <c r="AK846" s="905" t="str">
        <f t="shared" si="84"/>
        <v>AUTRES            -ALEATO</v>
      </c>
      <c r="AL846" s="905">
        <f>IFERROR(INDEX(G846:R846,1,MATCH(Parametres!$B$3,G$1:R$1,0)-1)*IF(OR(F846="L",F846="S",F846="I"),-1,1),"")</f>
        <v>0</v>
      </c>
      <c r="AM846" s="905">
        <f t="shared" si="8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6"/>
        <v>G728</v>
      </c>
      <c r="AU846" s="488" t="str">
        <f t="shared" si="87"/>
        <v>AUTRES            -ALEATO</v>
      </c>
      <c r="AV846" s="899">
        <f>IFERROR(INDEX(V846:AG846,1,MATCH(Parametres!$B$3,V$1:AG$1,0)-1)*IF(OR(C846="L",C846="S",C846="I"),-1,1),"")</f>
        <v>0</v>
      </c>
      <c r="AW846" s="899">
        <f t="shared" si="88"/>
        <v>0</v>
      </c>
      <c r="AX846" s="899">
        <f>INDEX(V846:AG846,1,MATCH(Parametres!$B$3,V$1:AG$1,0))*IF(OR(C846="L",C846="S",C846="I"),-1,1)</f>
        <v>0</v>
      </c>
      <c r="AY846" s="487" t="s">
        <v>337</v>
      </c>
      <c r="AZ846" s="487" t="e">
        <f>+VLOOKUP($AJ846,Data_Validation!$A:$E,5,0)</f>
        <v>#N/A</v>
      </c>
    </row>
    <row r="847" spans="1:52" ht="15" customHeight="1">
      <c r="A847" s="706" t="s">
        <v>1148</v>
      </c>
      <c r="B847" s="706">
        <v>2025</v>
      </c>
      <c r="C847" s="706" t="s">
        <v>2994</v>
      </c>
      <c r="D847" s="706" t="s">
        <v>2995</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3"/>
        <v>G73000</v>
      </c>
      <c r="AK847" s="905" t="str">
        <f t="shared" si="84"/>
        <v>COUT VTES VEHICULES CEDES</v>
      </c>
      <c r="AL847" s="905">
        <f>IFERROR(INDEX(G847:R847,1,MATCH(Parametres!$B$3,G$1:R$1,0)-1)*IF(OR(F847="L",F847="S",F847="I"),-1,1),"")</f>
        <v>0</v>
      </c>
      <c r="AM847" s="905">
        <f t="shared" si="85"/>
        <v>0</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86"/>
        <v>G73000</v>
      </c>
      <c r="AU847" s="488" t="str">
        <f t="shared" si="87"/>
        <v>COUT VTES VEHICULES CEDES</v>
      </c>
      <c r="AV847" s="899">
        <f>IFERROR(INDEX(V847:AG847,1,MATCH(Parametres!$B$3,V$1:AG$1,0)-1)*IF(OR(C847="L",C847="S",C847="I"),-1,1),"")</f>
        <v>0</v>
      </c>
      <c r="AW847" s="899">
        <f t="shared" si="88"/>
        <v>0</v>
      </c>
      <c r="AX847" s="899">
        <f>INDEX(V847:AG847,1,MATCH(Parametres!$B$3,V$1:AG$1,0))*IF(OR(C847="L",C847="S",C847="I"),-1,1)</f>
        <v>0</v>
      </c>
      <c r="AY847" s="487" t="s">
        <v>337</v>
      </c>
      <c r="AZ847" s="487">
        <f>+VLOOKUP($AJ847,Data_Validation!$A:$E,5,0)</f>
        <v>0</v>
      </c>
    </row>
    <row r="848" spans="1:52" ht="15" customHeight="1">
      <c r="A848" s="706" t="s">
        <v>1148</v>
      </c>
      <c r="B848" s="706">
        <v>2025</v>
      </c>
      <c r="C848" s="706" t="s">
        <v>2996</v>
      </c>
      <c r="D848" s="706" t="s">
        <v>2997</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3"/>
        <v>G731</v>
      </c>
      <c r="AK848" s="905" t="str">
        <f t="shared" si="84"/>
        <v>INTERETS             -C/T</v>
      </c>
      <c r="AL848" s="905">
        <f>IFERROR(INDEX(G848:R848,1,MATCH(Parametres!$B$3,G$1:R$1,0)-1)*IF(OR(F848="L",F848="S",F848="I"),-1,1),"")</f>
        <v>0</v>
      </c>
      <c r="AM848" s="905">
        <f t="shared" si="8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86"/>
        <v>G731</v>
      </c>
      <c r="AU848" s="488" t="str">
        <f t="shared" si="87"/>
        <v>INTERETS             -C/T</v>
      </c>
      <c r="AV848" s="899">
        <f>IFERROR(INDEX(V848:AG848,1,MATCH(Parametres!$B$3,V$1:AG$1,0)-1)*IF(OR(C848="L",C848="S",C848="I"),-1,1),"")</f>
        <v>0</v>
      </c>
      <c r="AW848" s="899">
        <f t="shared" si="88"/>
        <v>0</v>
      </c>
      <c r="AX848" s="899">
        <f>INDEX(V848:AG848,1,MATCH(Parametres!$B$3,V$1:AG$1,0))*IF(OR(C848="L",C848="S",C848="I"),-1,1)</f>
        <v>0</v>
      </c>
      <c r="AY848" s="487" t="s">
        <v>337</v>
      </c>
      <c r="AZ848" s="487" t="e">
        <f>+VLOOKUP($AJ848,Data_Validation!$A:$E,5,0)</f>
        <v>#N/A</v>
      </c>
    </row>
    <row r="849" spans="1:52" ht="15" customHeight="1">
      <c r="A849" s="706" t="s">
        <v>1148</v>
      </c>
      <c r="B849" s="706">
        <v>2025</v>
      </c>
      <c r="C849" s="706" t="s">
        <v>2998</v>
      </c>
      <c r="D849" s="706" t="s">
        <v>2999</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3"/>
        <v>G73100</v>
      </c>
      <c r="AK849" s="905" t="str">
        <f t="shared" si="84"/>
        <v>INTERETS LOCATION C/TERME</v>
      </c>
      <c r="AL849" s="905">
        <f>IFERROR(INDEX(G849:R849,1,MATCH(Parametres!$B$3,G$1:R$1,0)-1)*IF(OR(F849="L",F849="S",F849="I"),-1,1),"")</f>
        <v>0</v>
      </c>
      <c r="AM849" s="905">
        <f t="shared" si="85"/>
        <v>0</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86"/>
        <v>G73100</v>
      </c>
      <c r="AU849" s="488" t="str">
        <f t="shared" si="87"/>
        <v>INTERETS LOCATION C/TERME</v>
      </c>
      <c r="AV849" s="899">
        <f>IFERROR(INDEX(V849:AG849,1,MATCH(Parametres!$B$3,V$1:AG$1,0)-1)*IF(OR(C849="L",C849="S",C849="I"),-1,1),"")</f>
        <v>0</v>
      </c>
      <c r="AW849" s="899">
        <f t="shared" si="88"/>
        <v>0</v>
      </c>
      <c r="AX849" s="899">
        <f>INDEX(V849:AG849,1,MATCH(Parametres!$B$3,V$1:AG$1,0))*IF(OR(C849="L",C849="S",C849="I"),-1,1)</f>
        <v>0</v>
      </c>
      <c r="AY849" s="487" t="s">
        <v>337</v>
      </c>
      <c r="AZ849" s="487">
        <f>+VLOOKUP($AJ849,Data_Validation!$A:$E,5,0)</f>
        <v>0</v>
      </c>
    </row>
    <row r="850" spans="1:52" ht="15" customHeight="1">
      <c r="A850" s="706" t="s">
        <v>1148</v>
      </c>
      <c r="B850" s="706">
        <v>2025</v>
      </c>
      <c r="C850" s="706" t="s">
        <v>3000</v>
      </c>
      <c r="D850" s="706" t="s">
        <v>3001</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3"/>
        <v>G732</v>
      </c>
      <c r="AK850" s="905" t="str">
        <f t="shared" si="84"/>
        <v>AMORTISSEMENT        -C/T</v>
      </c>
      <c r="AL850" s="905">
        <f>IFERROR(INDEX(G850:R850,1,MATCH(Parametres!$B$3,G$1:R$1,0)-1)*IF(OR(F850="L",F850="S",F850="I"),-1,1),"")</f>
        <v>0</v>
      </c>
      <c r="AM850" s="905">
        <f t="shared" si="8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86"/>
        <v>G732</v>
      </c>
      <c r="AU850" s="488" t="str">
        <f t="shared" si="87"/>
        <v>AMORTISSEMENT        -C/T</v>
      </c>
      <c r="AV850" s="899">
        <f>IFERROR(INDEX(V850:AG850,1,MATCH(Parametres!$B$3,V$1:AG$1,0)-1)*IF(OR(C850="L",C850="S",C850="I"),-1,1),"")</f>
        <v>0</v>
      </c>
      <c r="AW850" s="899">
        <f t="shared" si="88"/>
        <v>0</v>
      </c>
      <c r="AX850" s="899">
        <f>INDEX(V850:AG850,1,MATCH(Parametres!$B$3,V$1:AG$1,0))*IF(OR(C850="L",C850="S",C850="I"),-1,1)</f>
        <v>0</v>
      </c>
      <c r="AY850" s="487" t="s">
        <v>337</v>
      </c>
      <c r="AZ850" s="487" t="e">
        <f>+VLOOKUP($AJ850,Data_Validation!$A:$E,5,0)</f>
        <v>#N/A</v>
      </c>
    </row>
    <row r="851" spans="1:52" ht="15" customHeight="1">
      <c r="A851" s="706" t="s">
        <v>1148</v>
      </c>
      <c r="B851" s="706">
        <v>2025</v>
      </c>
      <c r="C851" s="706" t="s">
        <v>3002</v>
      </c>
      <c r="D851" s="706" t="s">
        <v>3003</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3"/>
        <v>G73200</v>
      </c>
      <c r="AK851" s="905" t="str">
        <f t="shared" si="84"/>
        <v>AMORT. LOCATION C/TERME</v>
      </c>
      <c r="AL851" s="905">
        <f>IFERROR(INDEX(G851:R851,1,MATCH(Parametres!$B$3,G$1:R$1,0)-1)*IF(OR(F851="L",F851="S",F851="I"),-1,1),"")</f>
        <v>0</v>
      </c>
      <c r="AM851" s="905">
        <f t="shared" si="85"/>
        <v>0</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86"/>
        <v>G73200</v>
      </c>
      <c r="AU851" s="488" t="str">
        <f t="shared" si="87"/>
        <v>AMORT. LOCATION C/TERME</v>
      </c>
      <c r="AV851" s="899">
        <f>IFERROR(INDEX(V851:AG851,1,MATCH(Parametres!$B$3,V$1:AG$1,0)-1)*IF(OR(C851="L",C851="S",C851="I"),-1,1),"")</f>
        <v>0</v>
      </c>
      <c r="AW851" s="899">
        <f t="shared" si="88"/>
        <v>0</v>
      </c>
      <c r="AX851" s="899">
        <f>INDEX(V851:AG851,1,MATCH(Parametres!$B$3,V$1:AG$1,0))*IF(OR(C851="L",C851="S",C851="I"),-1,1)</f>
        <v>0</v>
      </c>
      <c r="AY851" s="487" t="s">
        <v>337</v>
      </c>
      <c r="AZ851" s="487">
        <f>+VLOOKUP($AJ851,Data_Validation!$A:$E,5,0)</f>
        <v>0</v>
      </c>
    </row>
    <row r="852" spans="1:52" ht="15" customHeight="1">
      <c r="A852" s="706" t="s">
        <v>1148</v>
      </c>
      <c r="B852" s="706">
        <v>2025</v>
      </c>
      <c r="C852" s="706" t="s">
        <v>3004</v>
      </c>
      <c r="D852" s="706" t="s">
        <v>3005</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3"/>
        <v>G733</v>
      </c>
      <c r="AK852" s="905" t="str">
        <f t="shared" si="84"/>
        <v>ASSUR.VEH EN SERV.   -C/T</v>
      </c>
      <c r="AL852" s="905">
        <f>IFERROR(INDEX(G852:R852,1,MATCH(Parametres!$B$3,G$1:R$1,0)-1)*IF(OR(F852="L",F852="S",F852="I"),-1,1),"")</f>
        <v>0</v>
      </c>
      <c r="AM852" s="905">
        <f t="shared" si="8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86"/>
        <v>G733</v>
      </c>
      <c r="AU852" s="488" t="str">
        <f t="shared" si="87"/>
        <v>ASSUR.VEH EN SERV.   -C/T</v>
      </c>
      <c r="AV852" s="899">
        <f>IFERROR(INDEX(V852:AG852,1,MATCH(Parametres!$B$3,V$1:AG$1,0)-1)*IF(OR(C852="L",C852="S",C852="I"),-1,1),"")</f>
        <v>0</v>
      </c>
      <c r="AW852" s="899">
        <f t="shared" si="88"/>
        <v>0</v>
      </c>
      <c r="AX852" s="899">
        <f>INDEX(V852:AG852,1,MATCH(Parametres!$B$3,V$1:AG$1,0))*IF(OR(C852="L",C852="S",C852="I"),-1,1)</f>
        <v>0</v>
      </c>
      <c r="AY852" s="487" t="s">
        <v>337</v>
      </c>
      <c r="AZ852" s="487" t="e">
        <f>+VLOOKUP($AJ852,Data_Validation!$A:$E,5,0)</f>
        <v>#N/A</v>
      </c>
    </row>
    <row r="853" spans="1:52" ht="15" customHeight="1">
      <c r="A853" s="706" t="s">
        <v>1148</v>
      </c>
      <c r="B853" s="706">
        <v>2025</v>
      </c>
      <c r="C853" s="706" t="s">
        <v>3006</v>
      </c>
      <c r="D853" s="706" t="s">
        <v>3007</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3"/>
        <v>G73300</v>
      </c>
      <c r="AK853" s="905" t="str">
        <f t="shared" si="84"/>
        <v>ASSURANCES COURTOISIES</v>
      </c>
      <c r="AL853" s="905">
        <f>IFERROR(INDEX(G853:R853,1,MATCH(Parametres!$B$3,G$1:R$1,0)-1)*IF(OR(F853="L",F853="S",F853="I"),-1,1),"")</f>
        <v>0</v>
      </c>
      <c r="AM853" s="905">
        <f t="shared" si="8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86"/>
        <v>G73300</v>
      </c>
      <c r="AU853" s="488" t="str">
        <f t="shared" si="87"/>
        <v>ASSURANCES COURTOISIES</v>
      </c>
      <c r="AV853" s="899">
        <f>IFERROR(INDEX(V853:AG853,1,MATCH(Parametres!$B$3,V$1:AG$1,0)-1)*IF(OR(C853="L",C853="S",C853="I"),-1,1),"")</f>
        <v>0</v>
      </c>
      <c r="AW853" s="899">
        <f t="shared" si="88"/>
        <v>0</v>
      </c>
      <c r="AX853" s="899">
        <f>INDEX(V853:AG853,1,MATCH(Parametres!$B$3,V$1:AG$1,0))*IF(OR(C853="L",C853="S",C853="I"),-1,1)</f>
        <v>0</v>
      </c>
      <c r="AY853" s="487" t="s">
        <v>337</v>
      </c>
      <c r="AZ853" s="487" t="e">
        <f>+VLOOKUP($AJ853,Data_Validation!$A:$E,5,0)</f>
        <v>#N/A</v>
      </c>
    </row>
    <row r="854" spans="1:52" ht="15" customHeight="1">
      <c r="A854" s="706" t="s">
        <v>1148</v>
      </c>
      <c r="B854" s="706">
        <v>2025</v>
      </c>
      <c r="C854" s="706" t="s">
        <v>3008</v>
      </c>
      <c r="D854" s="706" t="s">
        <v>3009</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3"/>
        <v>G734</v>
      </c>
      <c r="AK854" s="905" t="str">
        <f t="shared" si="84"/>
        <v>PLAQUE,TITRE,TAXES   -C/T</v>
      </c>
      <c r="AL854" s="905">
        <f>IFERROR(INDEX(G854:R854,1,MATCH(Parametres!$B$3,G$1:R$1,0)-1)*IF(OR(F854="L",F854="S",F854="I"),-1,1),"")</f>
        <v>0</v>
      </c>
      <c r="AM854" s="905">
        <f t="shared" si="8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86"/>
        <v>G734</v>
      </c>
      <c r="AU854" s="488" t="str">
        <f t="shared" si="87"/>
        <v>PLAQUE,TITRE,TAXES   -C/T</v>
      </c>
      <c r="AV854" s="899">
        <f>IFERROR(INDEX(V854:AG854,1,MATCH(Parametres!$B$3,V$1:AG$1,0)-1)*IF(OR(C854="L",C854="S",C854="I"),-1,1),"")</f>
        <v>0</v>
      </c>
      <c r="AW854" s="899">
        <f t="shared" si="88"/>
        <v>0</v>
      </c>
      <c r="AX854" s="899">
        <f>INDEX(V854:AG854,1,MATCH(Parametres!$B$3,V$1:AG$1,0))*IF(OR(C854="L",C854="S",C854="I"),-1,1)</f>
        <v>0</v>
      </c>
      <c r="AY854" s="487" t="s">
        <v>337</v>
      </c>
      <c r="AZ854" s="487" t="e">
        <f>+VLOOKUP($AJ854,Data_Validation!$A:$E,5,0)</f>
        <v>#N/A</v>
      </c>
    </row>
    <row r="855" spans="1:52" ht="15" customHeight="1">
      <c r="A855" s="706" t="s">
        <v>1148</v>
      </c>
      <c r="B855" s="706">
        <v>2025</v>
      </c>
      <c r="C855" s="706" t="s">
        <v>3010</v>
      </c>
      <c r="D855" s="706" t="s">
        <v>3011</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3"/>
        <v>G73400</v>
      </c>
      <c r="AK855" s="905" t="str">
        <f t="shared" si="84"/>
        <v>PLAQUES TITRES LOC.C/TERM</v>
      </c>
      <c r="AL855" s="905">
        <f>IFERROR(INDEX(G855:R855,1,MATCH(Parametres!$B$3,G$1:R$1,0)-1)*IF(OR(F855="L",F855="S",F855="I"),-1,1),"")</f>
        <v>0</v>
      </c>
      <c r="AM855" s="905">
        <f t="shared" si="85"/>
        <v>0</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86"/>
        <v>G73400</v>
      </c>
      <c r="AU855" s="488" t="str">
        <f t="shared" si="87"/>
        <v>PLAQUES TITRES LOC.C/TERM</v>
      </c>
      <c r="AV855" s="899">
        <f>IFERROR(INDEX(V855:AG855,1,MATCH(Parametres!$B$3,V$1:AG$1,0)-1)*IF(OR(C855="L",C855="S",C855="I"),-1,1),"")</f>
        <v>0</v>
      </c>
      <c r="AW855" s="899">
        <f t="shared" si="88"/>
        <v>0</v>
      </c>
      <c r="AX855" s="899">
        <f>INDEX(V855:AG855,1,MATCH(Parametres!$B$3,V$1:AG$1,0))*IF(OR(C855="L",C855="S",C855="I"),-1,1)</f>
        <v>0</v>
      </c>
      <c r="AY855" s="487" t="s">
        <v>337</v>
      </c>
      <c r="AZ855" s="487">
        <f>+VLOOKUP($AJ855,Data_Validation!$A:$E,5,0)</f>
        <v>0</v>
      </c>
    </row>
    <row r="856" spans="1:52" ht="15" customHeight="1">
      <c r="A856" s="706" t="s">
        <v>1148</v>
      </c>
      <c r="B856" s="706">
        <v>2025</v>
      </c>
      <c r="C856" s="706" t="s">
        <v>3012</v>
      </c>
      <c r="D856" s="706" t="s">
        <v>3013</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3"/>
        <v>G735</v>
      </c>
      <c r="AK856" s="905" t="str">
        <f t="shared" si="84"/>
        <v>TRAVAUX GRACIEUX     -C/T</v>
      </c>
      <c r="AL856" s="905">
        <f>IFERROR(INDEX(G856:R856,1,MATCH(Parametres!$B$3,G$1:R$1,0)-1)*IF(OR(F856="L",F856="S",F856="I"),-1,1),"")</f>
        <v>0</v>
      </c>
      <c r="AM856" s="905">
        <f t="shared" si="8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6"/>
        <v>G735</v>
      </c>
      <c r="AU856" s="488" t="str">
        <f t="shared" si="87"/>
        <v>TRAVAUX GRACIEUX     -C/T</v>
      </c>
      <c r="AV856" s="899">
        <f>IFERROR(INDEX(V856:AG856,1,MATCH(Parametres!$B$3,V$1:AG$1,0)-1)*IF(OR(C856="L",C856="S",C856="I"),-1,1),"")</f>
        <v>0</v>
      </c>
      <c r="AW856" s="899">
        <f t="shared" si="88"/>
        <v>0</v>
      </c>
      <c r="AX856" s="899">
        <f>INDEX(V856:AG856,1,MATCH(Parametres!$B$3,V$1:AG$1,0))*IF(OR(C856="L",C856="S",C856="I"),-1,1)</f>
        <v>0</v>
      </c>
      <c r="AY856" s="487" t="s">
        <v>337</v>
      </c>
      <c r="AZ856" s="487" t="e">
        <f>+VLOOKUP($AJ856,Data_Validation!$A:$E,5,0)</f>
        <v>#N/A</v>
      </c>
    </row>
    <row r="857" spans="1:52" ht="15" customHeight="1">
      <c r="A857" s="706" t="s">
        <v>1148</v>
      </c>
      <c r="B857" s="706">
        <v>2025</v>
      </c>
      <c r="C857" s="706" t="s">
        <v>3014</v>
      </c>
      <c r="D857" s="706" t="s">
        <v>3015</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3"/>
        <v>G736</v>
      </c>
      <c r="AK857" s="905" t="str">
        <f t="shared" si="84"/>
        <v>REPAR.&amp; ENTRETIEN    -C/T</v>
      </c>
      <c r="AL857" s="905">
        <f>IFERROR(INDEX(G857:R857,1,MATCH(Parametres!$B$3,G$1:R$1,0)-1)*IF(OR(F857="L",F857="S",F857="I"),-1,1),"")</f>
        <v>0</v>
      </c>
      <c r="AM857" s="905">
        <f t="shared" si="85"/>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6"/>
        <v>G736</v>
      </c>
      <c r="AU857" s="488" t="str">
        <f t="shared" si="87"/>
        <v>REPAR.&amp; ENTRETIEN    -C/T</v>
      </c>
      <c r="AV857" s="899">
        <f>IFERROR(INDEX(V857:AG857,1,MATCH(Parametres!$B$3,V$1:AG$1,0)-1)*IF(OR(C857="L",C857="S",C857="I"),-1,1),"")</f>
        <v>0</v>
      </c>
      <c r="AW857" s="899">
        <f t="shared" si="88"/>
        <v>0</v>
      </c>
      <c r="AX857" s="899">
        <f>INDEX(V857:AG857,1,MATCH(Parametres!$B$3,V$1:AG$1,0))*IF(OR(C857="L",C857="S",C857="I"),-1,1)</f>
        <v>0</v>
      </c>
      <c r="AY857" s="487" t="s">
        <v>337</v>
      </c>
      <c r="AZ857" s="487" t="e">
        <f>+VLOOKUP($AJ857,Data_Validation!$A:$E,5,0)</f>
        <v>#N/A</v>
      </c>
    </row>
    <row r="858" spans="1:52" ht="15" customHeight="1">
      <c r="A858" s="706" t="s">
        <v>1148</v>
      </c>
      <c r="B858" s="706">
        <v>2025</v>
      </c>
      <c r="C858" s="706" t="s">
        <v>3016</v>
      </c>
      <c r="D858" s="706" t="s">
        <v>3017</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3"/>
        <v>G73600</v>
      </c>
      <c r="AK858" s="905" t="str">
        <f t="shared" si="84"/>
        <v>REPAR. ENTRETIEN LOC C/T</v>
      </c>
      <c r="AL858" s="905">
        <f>IFERROR(INDEX(G858:R858,1,MATCH(Parametres!$B$3,G$1:R$1,0)-1)*IF(OR(F858="L",F858="S",F858="I"),-1,1),"")</f>
        <v>0</v>
      </c>
      <c r="AM858" s="905">
        <f t="shared" si="85"/>
        <v>0</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86"/>
        <v>G73600</v>
      </c>
      <c r="AU858" s="488" t="str">
        <f t="shared" si="87"/>
        <v>REPAR. ENTRETIEN LOC C/T</v>
      </c>
      <c r="AV858" s="899">
        <f>IFERROR(INDEX(V858:AG858,1,MATCH(Parametres!$B$3,V$1:AG$1,0)-1)*IF(OR(C858="L",C858="S",C858="I"),-1,1),"")</f>
        <v>0</v>
      </c>
      <c r="AW858" s="899">
        <f t="shared" si="88"/>
        <v>0</v>
      </c>
      <c r="AX858" s="899">
        <f>INDEX(V858:AG858,1,MATCH(Parametres!$B$3,V$1:AG$1,0))*IF(OR(C858="L",C858="S",C858="I"),-1,1)</f>
        <v>0</v>
      </c>
      <c r="AY858" s="487" t="s">
        <v>337</v>
      </c>
      <c r="AZ858" s="487">
        <f>+VLOOKUP($AJ858,Data_Validation!$A:$E,5,0)</f>
        <v>0</v>
      </c>
    </row>
    <row r="859" spans="1:52" ht="15" customHeight="1">
      <c r="A859" s="706" t="s">
        <v>1148</v>
      </c>
      <c r="B859" s="706">
        <v>2025</v>
      </c>
      <c r="C859" s="706" t="s">
        <v>3018</v>
      </c>
      <c r="D859" s="706" t="s">
        <v>3019</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9">C859</f>
        <v>G737</v>
      </c>
      <c r="AK859" s="905" t="str">
        <f t="shared" ref="AK859:AK922" si="90">D859</f>
        <v>PRIX LOC.UNIT.S-LOUE -C/T</v>
      </c>
      <c r="AL859" s="905">
        <f>IFERROR(INDEX(G859:R859,1,MATCH(Parametres!$B$3,G$1:R$1,0)-1)*IF(OR(F859="L",F859="S",F859="I"),-1,1),"")</f>
        <v>0</v>
      </c>
      <c r="AM859" s="905">
        <f t="shared" ref="AM859:AM922" si="91">AN859-AL859</f>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ref="AT859:AT922" si="92">C859</f>
        <v>G737</v>
      </c>
      <c r="AU859" s="488" t="str">
        <f t="shared" ref="AU859:AU922" si="93">D859</f>
        <v>PRIX LOC.UNIT.S-LOUE -C/T</v>
      </c>
      <c r="AV859" s="899">
        <f>IFERROR(INDEX(V859:AG859,1,MATCH(Parametres!$B$3,V$1:AG$1,0)-1)*IF(OR(C859="L",C859="S",C859="I"),-1,1),"")</f>
        <v>0</v>
      </c>
      <c r="AW859" s="899">
        <f t="shared" ref="AW859:AW922" si="94">AX859-AV859</f>
        <v>0</v>
      </c>
      <c r="AX859" s="899">
        <f>INDEX(V859:AG859,1,MATCH(Parametres!$B$3,V$1:AG$1,0))*IF(OR(C859="L",C859="S",C859="I"),-1,1)</f>
        <v>0</v>
      </c>
      <c r="AY859" s="487" t="s">
        <v>337</v>
      </c>
      <c r="AZ859" s="487" t="e">
        <f>+VLOOKUP($AJ859,Data_Validation!$A:$E,5,0)</f>
        <v>#N/A</v>
      </c>
    </row>
    <row r="860" spans="1:52" ht="15" customHeight="1">
      <c r="A860" s="706" t="s">
        <v>1148</v>
      </c>
      <c r="B860" s="706">
        <v>2025</v>
      </c>
      <c r="C860" s="706" t="s">
        <v>3020</v>
      </c>
      <c r="D860" s="706" t="s">
        <v>3021</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9"/>
        <v>G738</v>
      </c>
      <c r="AK860" s="905" t="str">
        <f t="shared" si="90"/>
        <v>AUTRES               -C/T</v>
      </c>
      <c r="AL860" s="905">
        <f>IFERROR(INDEX(G860:R860,1,MATCH(Parametres!$B$3,G$1:R$1,0)-1)*IF(OR(F860="L",F860="S",F860="I"),-1,1),"")</f>
        <v>0</v>
      </c>
      <c r="AM860" s="905">
        <f t="shared" si="9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92"/>
        <v>G738</v>
      </c>
      <c r="AU860" s="488" t="str">
        <f t="shared" si="93"/>
        <v>AUTRES               -C/T</v>
      </c>
      <c r="AV860" s="899">
        <f>IFERROR(INDEX(V860:AG860,1,MATCH(Parametres!$B$3,V$1:AG$1,0)-1)*IF(OR(C860="L",C860="S",C860="I"),-1,1),"")</f>
        <v>0</v>
      </c>
      <c r="AW860" s="899">
        <f t="shared" si="94"/>
        <v>0</v>
      </c>
      <c r="AX860" s="899">
        <f>INDEX(V860:AG860,1,MATCH(Parametres!$B$3,V$1:AG$1,0))*IF(OR(C860="L",C860="S",C860="I"),-1,1)</f>
        <v>0</v>
      </c>
      <c r="AY860" s="487" t="s">
        <v>337</v>
      </c>
      <c r="AZ860" s="487" t="e">
        <f>+VLOOKUP($AJ860,Data_Validation!$A:$E,5,0)</f>
        <v>#N/A</v>
      </c>
    </row>
    <row r="861" spans="1:52" ht="15" customHeight="1">
      <c r="A861" s="706" t="s">
        <v>1148</v>
      </c>
      <c r="B861" s="706">
        <v>2025</v>
      </c>
      <c r="C861" s="706" t="s">
        <v>3022</v>
      </c>
      <c r="D861" s="706" t="s">
        <v>3023</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9"/>
        <v>G740</v>
      </c>
      <c r="AK861" s="905" t="str">
        <f t="shared" si="90"/>
        <v>COMM.DIRECT.F&amp;A LOC C&amp;L</v>
      </c>
      <c r="AL861" s="905">
        <f>IFERROR(INDEX(G861:R861,1,MATCH(Parametres!$B$3,G$1:R$1,0)-1)*IF(OR(F861="L",F861="S",F861="I"),-1,1),"")</f>
        <v>0</v>
      </c>
      <c r="AM861" s="905">
        <f t="shared" si="9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92"/>
        <v>G740</v>
      </c>
      <c r="AU861" s="488" t="str">
        <f t="shared" si="93"/>
        <v>COMM.DIRECT.F&amp;A LOC C&amp;L</v>
      </c>
      <c r="AV861" s="899">
        <f>IFERROR(INDEX(V861:AG861,1,MATCH(Parametres!$B$3,V$1:AG$1,0)-1)*IF(OR(C861="L",C861="S",C861="I"),-1,1),"")</f>
        <v>0</v>
      </c>
      <c r="AW861" s="899">
        <f t="shared" si="94"/>
        <v>0</v>
      </c>
      <c r="AX861" s="899">
        <f>INDEX(V861:AG861,1,MATCH(Parametres!$B$3,V$1:AG$1,0))*IF(OR(C861="L",C861="S",C861="I"),-1,1)</f>
        <v>0</v>
      </c>
      <c r="AY861" s="487" t="s">
        <v>337</v>
      </c>
      <c r="AZ861" s="487" t="e">
        <f>+VLOOKUP($AJ861,Data_Validation!$A:$E,5,0)</f>
        <v>#N/A</v>
      </c>
    </row>
    <row r="862" spans="1:52" ht="15" customHeight="1">
      <c r="A862" s="706" t="s">
        <v>1148</v>
      </c>
      <c r="B862" s="706">
        <v>2025</v>
      </c>
      <c r="C862" s="706" t="s">
        <v>3024</v>
      </c>
      <c r="D862" s="706" t="s">
        <v>3025</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9"/>
        <v>G741</v>
      </c>
      <c r="AK862" s="905" t="str">
        <f t="shared" si="90"/>
        <v>RETROFACT.F&amp;A LOC C&amp;L TER</v>
      </c>
      <c r="AL862" s="905">
        <f>IFERROR(INDEX(G862:R862,1,MATCH(Parametres!$B$3,G$1:R$1,0)-1)*IF(OR(F862="L",F862="S",F862="I"),-1,1),"")</f>
        <v>0</v>
      </c>
      <c r="AM862" s="905">
        <f t="shared" si="9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92"/>
        <v>G741</v>
      </c>
      <c r="AU862" s="488" t="str">
        <f t="shared" si="93"/>
        <v>RETROFACT.F&amp;A LOC C&amp;L TER</v>
      </c>
      <c r="AV862" s="899">
        <f>IFERROR(INDEX(V862:AG862,1,MATCH(Parametres!$B$3,V$1:AG$1,0)-1)*IF(OR(C862="L",C862="S",C862="I"),-1,1),"")</f>
        <v>0</v>
      </c>
      <c r="AW862" s="899">
        <f t="shared" si="94"/>
        <v>0</v>
      </c>
      <c r="AX862" s="899">
        <f>INDEX(V862:AG862,1,MATCH(Parametres!$B$3,V$1:AG$1,0))*IF(OR(C862="L",C862="S",C862="I"),-1,1)</f>
        <v>0</v>
      </c>
      <c r="AY862" s="487" t="s">
        <v>337</v>
      </c>
      <c r="AZ862" s="487" t="e">
        <f>+VLOOKUP($AJ862,Data_Validation!$A:$E,5,0)</f>
        <v>#N/A</v>
      </c>
    </row>
    <row r="863" spans="1:52" ht="15" customHeight="1">
      <c r="A863" s="706" t="s">
        <v>1148</v>
      </c>
      <c r="B863" s="706">
        <v>2025</v>
      </c>
      <c r="C863" s="706" t="s">
        <v>3026</v>
      </c>
      <c r="D863" s="706" t="s">
        <v>3027</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9"/>
        <v>G806</v>
      </c>
      <c r="AK863" s="905" t="str">
        <f t="shared" si="90"/>
        <v>REVENU FINANCE - NEUF</v>
      </c>
      <c r="AL863" s="905">
        <f>IFERROR(INDEX(G863:R863,1,MATCH(Parametres!$B$3,G$1:R$1,0)-1)*IF(OR(F863="L",F863="S",F863="I"),-1,1),"")</f>
        <v>0</v>
      </c>
      <c r="AM863" s="905">
        <f t="shared" si="9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92"/>
        <v>G806</v>
      </c>
      <c r="AU863" s="488" t="str">
        <f t="shared" si="93"/>
        <v>REVENU FINANCE - NEUF</v>
      </c>
      <c r="AV863" s="899">
        <f>IFERROR(INDEX(V863:AG863,1,MATCH(Parametres!$B$3,V$1:AG$1,0)-1)*IF(OR(C863="L",C863="S",C863="I"),-1,1),"")</f>
        <v>0</v>
      </c>
      <c r="AW863" s="899">
        <f t="shared" si="94"/>
        <v>0</v>
      </c>
      <c r="AX863" s="899">
        <f>INDEX(V863:AG863,1,MATCH(Parametres!$B$3,V$1:AG$1,0))*IF(OR(C863="L",C863="S",C863="I"),-1,1)</f>
        <v>0</v>
      </c>
      <c r="AY863" s="487" t="s">
        <v>337</v>
      </c>
      <c r="AZ863" s="487" t="e">
        <f>+VLOOKUP($AJ863,Data_Validation!$A:$E,5,0)</f>
        <v>#N/A</v>
      </c>
    </row>
    <row r="864" spans="1:52" ht="15" hidden="1" customHeight="1">
      <c r="A864" s="706" t="s">
        <v>1148</v>
      </c>
      <c r="B864" s="706">
        <v>2025</v>
      </c>
      <c r="C864" s="706" t="s">
        <v>3028</v>
      </c>
      <c r="D864" s="706" t="s">
        <v>3029</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905" t="str">
        <f t="shared" si="89"/>
        <v>G80600</v>
      </c>
      <c r="AK864" s="905" t="str">
        <f t="shared" si="90"/>
        <v>REVENUS FINANCE VEH. NEUF</v>
      </c>
      <c r="AL864" s="905">
        <f>IFERROR(INDEX(G864:R864,1,MATCH(Parametres!$B$3,G$1:R$1,0)-1)*IF(OR(F864="L",F864="S",F864="I"),-1,1),"")</f>
        <v>-5332.73</v>
      </c>
      <c r="AM864" s="905">
        <f t="shared" si="91"/>
        <v>-1081.7000000000007</v>
      </c>
      <c r="AN864" s="905">
        <f>INDEX(G864:R864,1,MATCH(Parametres!$B$3,G$1:R$1,0))*IF(OR(F864="L",F864="S",F864="I"),-1,1)</f>
        <v>-6414.43</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92"/>
        <v>G80600</v>
      </c>
      <c r="AU864" s="488" t="str">
        <f t="shared" si="93"/>
        <v>REVENUS FINANCE VEH. NEUF</v>
      </c>
      <c r="AV864" s="899">
        <f>IFERROR(INDEX(V864:AG864,1,MATCH(Parametres!$B$3,V$1:AG$1,0)-1)*IF(OR(C864="L",C864="S",C864="I"),-1,1),"")</f>
        <v>13</v>
      </c>
      <c r="AW864" s="899">
        <f t="shared" si="94"/>
        <v>2</v>
      </c>
      <c r="AX864" s="899">
        <f>INDEX(V864:AG864,1,MATCH(Parametres!$B$3,V$1:AG$1,0))*IF(OR(C864="L",C864="S",C864="I"),-1,1)</f>
        <v>15</v>
      </c>
      <c r="AY864" s="487" t="s">
        <v>337</v>
      </c>
      <c r="AZ864" s="487" t="str">
        <f>+VLOOKUP($AJ864,Data_Validation!$A:$E,5,0)</f>
        <v>Oui</v>
      </c>
    </row>
    <row r="865" spans="1:52" ht="15" customHeight="1">
      <c r="A865" s="706" t="s">
        <v>1148</v>
      </c>
      <c r="B865" s="706">
        <v>2025</v>
      </c>
      <c r="C865" s="706" t="s">
        <v>3030</v>
      </c>
      <c r="D865" s="706" t="s">
        <v>3031</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9"/>
        <v>G807</v>
      </c>
      <c r="AK865" s="905" t="str">
        <f t="shared" si="90"/>
        <v>COMM/ASSURANCE - NEUF</v>
      </c>
      <c r="AL865" s="905">
        <f>IFERROR(INDEX(G865:R865,1,MATCH(Parametres!$B$3,G$1:R$1,0)-1)*IF(OR(F865="L",F865="S",F865="I"),-1,1),"")</f>
        <v>0</v>
      </c>
      <c r="AM865" s="905">
        <f t="shared" si="9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92"/>
        <v>G807</v>
      </c>
      <c r="AU865" s="488" t="str">
        <f t="shared" si="93"/>
        <v>COMM/ASSURANCE - NEUF</v>
      </c>
      <c r="AV865" s="899">
        <f>IFERROR(INDEX(V865:AG865,1,MATCH(Parametres!$B$3,V$1:AG$1,0)-1)*IF(OR(C865="L",C865="S",C865="I"),-1,1),"")</f>
        <v>0</v>
      </c>
      <c r="AW865" s="899">
        <f t="shared" si="94"/>
        <v>0</v>
      </c>
      <c r="AX865" s="899">
        <f>INDEX(V865:AG865,1,MATCH(Parametres!$B$3,V$1:AG$1,0))*IF(OR(C865="L",C865="S",C865="I"),-1,1)</f>
        <v>0</v>
      </c>
      <c r="AY865" s="487" t="s">
        <v>337</v>
      </c>
      <c r="AZ865" s="487" t="e">
        <f>+VLOOKUP($AJ865,Data_Validation!$A:$E,5,0)</f>
        <v>#N/A</v>
      </c>
    </row>
    <row r="866" spans="1:52" ht="15" hidden="1" customHeight="1">
      <c r="A866" s="706" t="s">
        <v>1148</v>
      </c>
      <c r="B866" s="706">
        <v>2025</v>
      </c>
      <c r="C866" s="706" t="s">
        <v>3032</v>
      </c>
      <c r="D866" s="706" t="s">
        <v>3033</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905" t="str">
        <f t="shared" si="89"/>
        <v>G80700</v>
      </c>
      <c r="AK866" s="905" t="str">
        <f t="shared" si="90"/>
        <v>REV. ASS-VIE INVAL. NEUF</v>
      </c>
      <c r="AL866" s="905">
        <f>IFERROR(INDEX(G866:R866,1,MATCH(Parametres!$B$3,G$1:R$1,0)-1)*IF(OR(F866="L",F866="S",F866="I"),-1,1),"")</f>
        <v>-45560.79</v>
      </c>
      <c r="AM866" s="905">
        <f t="shared" si="91"/>
        <v>-8011.0899999999965</v>
      </c>
      <c r="AN866" s="905">
        <f>INDEX(G866:R866,1,MATCH(Parametres!$B$3,G$1:R$1,0))*IF(OR(F866="L",F866="S",F866="I"),-1,1)</f>
        <v>-53571.88</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92"/>
        <v>G80700</v>
      </c>
      <c r="AU866" s="488" t="str">
        <f t="shared" si="93"/>
        <v>REV. ASS-VIE INVAL. NEUF</v>
      </c>
      <c r="AV866" s="899">
        <f>IFERROR(INDEX(V866:AG866,1,MATCH(Parametres!$B$3,V$1:AG$1,0)-1)*IF(OR(C866="L",C866="S",C866="I"),-1,1),"")</f>
        <v>-1</v>
      </c>
      <c r="AW866" s="899">
        <f t="shared" si="94"/>
        <v>0</v>
      </c>
      <c r="AX866" s="899">
        <f>INDEX(V866:AG866,1,MATCH(Parametres!$B$3,V$1:AG$1,0))*IF(OR(C866="L",C866="S",C866="I"),-1,1)</f>
        <v>-1</v>
      </c>
      <c r="AY866" s="487" t="s">
        <v>337</v>
      </c>
      <c r="AZ866" s="487" t="str">
        <f>+VLOOKUP($AJ866,Data_Validation!$A:$E,5,0)</f>
        <v>Oui</v>
      </c>
    </row>
    <row r="867" spans="1:52" ht="15" customHeight="1">
      <c r="A867" s="706" t="s">
        <v>1148</v>
      </c>
      <c r="B867" s="706">
        <v>2025</v>
      </c>
      <c r="C867" s="706" t="s">
        <v>3034</v>
      </c>
      <c r="D867" s="706" t="s">
        <v>3035</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9"/>
        <v>G808</v>
      </c>
      <c r="AK867" s="905" t="str">
        <f t="shared" si="90"/>
        <v>REVENU FINANCEMENT USAGES</v>
      </c>
      <c r="AL867" s="905">
        <f>IFERROR(INDEX(G867:R867,1,MATCH(Parametres!$B$3,G$1:R$1,0)-1)*IF(OR(F867="L",F867="S",F867="I"),-1,1),"")</f>
        <v>0</v>
      </c>
      <c r="AM867" s="905">
        <f t="shared" si="9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92"/>
        <v>G808</v>
      </c>
      <c r="AU867" s="488" t="str">
        <f t="shared" si="93"/>
        <v>REVENU FINANCEMENT USAGES</v>
      </c>
      <c r="AV867" s="899">
        <f>IFERROR(INDEX(V867:AG867,1,MATCH(Parametres!$B$3,V$1:AG$1,0)-1)*IF(OR(C867="L",C867="S",C867="I"),-1,1),"")</f>
        <v>0</v>
      </c>
      <c r="AW867" s="899">
        <f t="shared" si="94"/>
        <v>0</v>
      </c>
      <c r="AX867" s="899">
        <f>INDEX(V867:AG867,1,MATCH(Parametres!$B$3,V$1:AG$1,0))*IF(OR(C867="L",C867="S",C867="I"),-1,1)</f>
        <v>0</v>
      </c>
      <c r="AY867" s="487" t="s">
        <v>337</v>
      </c>
      <c r="AZ867" s="487" t="e">
        <f>+VLOOKUP($AJ867,Data_Validation!$A:$E,5,0)</f>
        <v>#N/A</v>
      </c>
    </row>
    <row r="868" spans="1:52" ht="15" hidden="1" customHeight="1">
      <c r="A868" s="706" t="s">
        <v>1148</v>
      </c>
      <c r="B868" s="706">
        <v>2025</v>
      </c>
      <c r="C868" s="706" t="s">
        <v>3036</v>
      </c>
      <c r="D868" s="706" t="s">
        <v>3037</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905" t="str">
        <f t="shared" si="89"/>
        <v>G80800</v>
      </c>
      <c r="AK868" s="905" t="str">
        <f t="shared" si="90"/>
        <v>REVENUS FINANCE VEH.USAGE</v>
      </c>
      <c r="AL868" s="905">
        <f>IFERROR(INDEX(G868:R868,1,MATCH(Parametres!$B$3,G$1:R$1,0)-1)*IF(OR(F868="L",F868="S",F868="I"),-1,1),"")</f>
        <v>-29346.73</v>
      </c>
      <c r="AM868" s="905">
        <f t="shared" si="91"/>
        <v>-4917.880000000001</v>
      </c>
      <c r="AN868" s="905">
        <f>INDEX(G868:R868,1,MATCH(Parametres!$B$3,G$1:R$1,0))*IF(OR(F868="L",F868="S",F868="I"),-1,1)</f>
        <v>-34264.61</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92"/>
        <v>G80800</v>
      </c>
      <c r="AU868" s="488" t="str">
        <f t="shared" si="93"/>
        <v>REVENUS FINANCE VEH.USAGE</v>
      </c>
      <c r="AV868" s="899">
        <f>IFERROR(INDEX(V868:AG868,1,MATCH(Parametres!$B$3,V$1:AG$1,0)-1)*IF(OR(C868="L",C868="S",C868="I"),-1,1),"")</f>
        <v>34</v>
      </c>
      <c r="AW868" s="899">
        <f t="shared" si="94"/>
        <v>5</v>
      </c>
      <c r="AX868" s="899">
        <f>INDEX(V868:AG868,1,MATCH(Parametres!$B$3,V$1:AG$1,0))*IF(OR(C868="L",C868="S",C868="I"),-1,1)</f>
        <v>39</v>
      </c>
      <c r="AY868" s="487" t="s">
        <v>337</v>
      </c>
      <c r="AZ868" s="487" t="str">
        <f>+VLOOKUP($AJ868,Data_Validation!$A:$E,5,0)</f>
        <v>Oui</v>
      </c>
    </row>
    <row r="869" spans="1:52" ht="15" customHeight="1">
      <c r="A869" s="706" t="s">
        <v>1148</v>
      </c>
      <c r="B869" s="706">
        <v>2025</v>
      </c>
      <c r="C869" s="706" t="s">
        <v>3038</v>
      </c>
      <c r="D869" s="706" t="s">
        <v>3039</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9"/>
        <v>G809</v>
      </c>
      <c r="AK869" s="905" t="str">
        <f t="shared" si="90"/>
        <v>COMM/ASSURANCE USAGES</v>
      </c>
      <c r="AL869" s="905">
        <f>IFERROR(INDEX(G869:R869,1,MATCH(Parametres!$B$3,G$1:R$1,0)-1)*IF(OR(F869="L",F869="S",F869="I"),-1,1),"")</f>
        <v>0</v>
      </c>
      <c r="AM869" s="905">
        <f t="shared" si="9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92"/>
        <v>G809</v>
      </c>
      <c r="AU869" s="488" t="str">
        <f t="shared" si="93"/>
        <v>COMM/ASSURANCE USAGES</v>
      </c>
      <c r="AV869" s="899">
        <f>IFERROR(INDEX(V869:AG869,1,MATCH(Parametres!$B$3,V$1:AG$1,0)-1)*IF(OR(C869="L",C869="S",C869="I"),-1,1),"")</f>
        <v>0</v>
      </c>
      <c r="AW869" s="899">
        <f t="shared" si="94"/>
        <v>0</v>
      </c>
      <c r="AX869" s="899">
        <f>INDEX(V869:AG869,1,MATCH(Parametres!$B$3,V$1:AG$1,0))*IF(OR(C869="L",C869="S",C869="I"),-1,1)</f>
        <v>0</v>
      </c>
      <c r="AY869" s="487" t="s">
        <v>337</v>
      </c>
      <c r="AZ869" s="487" t="e">
        <f>+VLOOKUP($AJ869,Data_Validation!$A:$E,5,0)</f>
        <v>#N/A</v>
      </c>
    </row>
    <row r="870" spans="1:52" ht="15" hidden="1" customHeight="1">
      <c r="A870" s="706" t="s">
        <v>1148</v>
      </c>
      <c r="B870" s="706">
        <v>2025</v>
      </c>
      <c r="C870" s="706" t="s">
        <v>3040</v>
      </c>
      <c r="D870" s="706" t="s">
        <v>3041</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9"/>
        <v>G80900</v>
      </c>
      <c r="AK870" s="905" t="str">
        <f t="shared" si="90"/>
        <v>REV. ASS-VIE INVAL. USAGE</v>
      </c>
      <c r="AL870" s="905">
        <f>IFERROR(INDEX(G870:R870,1,MATCH(Parametres!$B$3,G$1:R$1,0)-1)*IF(OR(F870="L",F870="S",F870="I"),-1,1),"")</f>
        <v>-1153.73</v>
      </c>
      <c r="AM870" s="905">
        <f t="shared" si="91"/>
        <v>-1224.73</v>
      </c>
      <c r="AN870" s="905">
        <f>INDEX(G870:R870,1,MATCH(Parametres!$B$3,G$1:R$1,0))*IF(OR(F870="L",F870="S",F870="I"),-1,1)</f>
        <v>-2378.46</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92"/>
        <v>G80900</v>
      </c>
      <c r="AU870" s="488" t="str">
        <f t="shared" si="93"/>
        <v>REV. ASS-VIE INVAL. USAGE</v>
      </c>
      <c r="AV870" s="899">
        <f>IFERROR(INDEX(V870:AG870,1,MATCH(Parametres!$B$3,V$1:AG$1,0)-1)*IF(OR(C870="L",C870="S",C870="I"),-1,1),"")</f>
        <v>0</v>
      </c>
      <c r="AW870" s="899">
        <f t="shared" si="94"/>
        <v>0</v>
      </c>
      <c r="AX870" s="899">
        <f>INDEX(V870:AG870,1,MATCH(Parametres!$B$3,V$1:AG$1,0))*IF(OR(C870="L",C870="S",C870="I"),-1,1)</f>
        <v>0</v>
      </c>
      <c r="AY870" s="487" t="s">
        <v>337</v>
      </c>
      <c r="AZ870" s="487" t="str">
        <f>+VLOOKUP($AJ870,Data_Validation!$A:$E,5,0)</f>
        <v>Oui</v>
      </c>
    </row>
    <row r="871" spans="1:52" ht="15" customHeight="1">
      <c r="A871" s="706" t="s">
        <v>1148</v>
      </c>
      <c r="B871" s="706">
        <v>2025</v>
      </c>
      <c r="C871" s="706" t="s">
        <v>3042</v>
      </c>
      <c r="D871" s="706" t="s">
        <v>3043</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9"/>
        <v>G810</v>
      </c>
      <c r="AK871" s="905" t="str">
        <f t="shared" si="90"/>
        <v>VTES-ACCESSOIRES NEUF</v>
      </c>
      <c r="AL871" s="905">
        <f>IFERROR(INDEX(G871:R871,1,MATCH(Parametres!$B$3,G$1:R$1,0)-1)*IF(OR(F871="L",F871="S",F871="I"),-1,1),"")</f>
        <v>0</v>
      </c>
      <c r="AM871" s="905">
        <f t="shared" si="9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92"/>
        <v>G810</v>
      </c>
      <c r="AU871" s="488" t="str">
        <f t="shared" si="93"/>
        <v>VTES-ACCESSOIRES NEUF</v>
      </c>
      <c r="AV871" s="899">
        <f>IFERROR(INDEX(V871:AG871,1,MATCH(Parametres!$B$3,V$1:AG$1,0)-1)*IF(OR(C871="L",C871="S",C871="I"),-1,1),"")</f>
        <v>0</v>
      </c>
      <c r="AW871" s="899">
        <f t="shared" si="94"/>
        <v>0</v>
      </c>
      <c r="AX871" s="899">
        <f>INDEX(V871:AG871,1,MATCH(Parametres!$B$3,V$1:AG$1,0))*IF(OR(C871="L",C871="S",C871="I"),-1,1)</f>
        <v>0</v>
      </c>
      <c r="AY871" s="487" t="s">
        <v>337</v>
      </c>
      <c r="AZ871" s="487" t="e">
        <f>+VLOOKUP($AJ871,Data_Validation!$A:$E,5,0)</f>
        <v>#N/A</v>
      </c>
    </row>
    <row r="872" spans="1:52" ht="15" customHeight="1">
      <c r="A872" s="706" t="s">
        <v>1148</v>
      </c>
      <c r="B872" s="706">
        <v>2025</v>
      </c>
      <c r="C872" s="706" t="s">
        <v>3044</v>
      </c>
      <c r="D872" s="706" t="s">
        <v>3045</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9"/>
        <v>G810C</v>
      </c>
      <c r="AK872" s="905" t="str">
        <f t="shared" si="90"/>
        <v>COUT-ACCESSOIRES NEUF</v>
      </c>
      <c r="AL872" s="905">
        <f>IFERROR(INDEX(G872:R872,1,MATCH(Parametres!$B$3,G$1:R$1,0)-1)*IF(OR(F872="L",F872="S",F872="I"),-1,1),"")</f>
        <v>0</v>
      </c>
      <c r="AM872" s="905">
        <f t="shared" si="9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92"/>
        <v>G810C</v>
      </c>
      <c r="AU872" s="488" t="str">
        <f t="shared" si="93"/>
        <v>COUT-ACCESSOIRES NEUF</v>
      </c>
      <c r="AV872" s="899">
        <f>IFERROR(INDEX(V872:AG872,1,MATCH(Parametres!$B$3,V$1:AG$1,0)-1)*IF(OR(C872="L",C872="S",C872="I"),-1,1),"")</f>
        <v>0</v>
      </c>
      <c r="AW872" s="899">
        <f t="shared" si="94"/>
        <v>0</v>
      </c>
      <c r="AX872" s="899">
        <f>INDEX(V872:AG872,1,MATCH(Parametres!$B$3,V$1:AG$1,0))*IF(OR(C872="L",C872="S",C872="I"),-1,1)</f>
        <v>0</v>
      </c>
      <c r="AY872" s="487" t="s">
        <v>337</v>
      </c>
      <c r="AZ872" s="487" t="e">
        <f>+VLOOKUP($AJ872,Data_Validation!$A:$E,5,0)</f>
        <v>#N/A</v>
      </c>
    </row>
    <row r="873" spans="1:52" ht="15" customHeight="1">
      <c r="A873" s="706" t="s">
        <v>1148</v>
      </c>
      <c r="B873" s="706">
        <v>2025</v>
      </c>
      <c r="C873" s="706" t="s">
        <v>3046</v>
      </c>
      <c r="D873" s="706" t="s">
        <v>3047</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9"/>
        <v>G811</v>
      </c>
      <c r="AK873" s="905" t="str">
        <f t="shared" si="90"/>
        <v>VTES-ACCESSOIRES USAGE</v>
      </c>
      <c r="AL873" s="905">
        <f>IFERROR(INDEX(G873:R873,1,MATCH(Parametres!$B$3,G$1:R$1,0)-1)*IF(OR(F873="L",F873="S",F873="I"),-1,1),"")</f>
        <v>0</v>
      </c>
      <c r="AM873" s="905">
        <f t="shared" si="9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92"/>
        <v>G811</v>
      </c>
      <c r="AU873" s="488" t="str">
        <f t="shared" si="93"/>
        <v>VTES-ACCESSOIRES USAGE</v>
      </c>
      <c r="AV873" s="899">
        <f>IFERROR(INDEX(V873:AG873,1,MATCH(Parametres!$B$3,V$1:AG$1,0)-1)*IF(OR(C873="L",C873="S",C873="I"),-1,1),"")</f>
        <v>0</v>
      </c>
      <c r="AW873" s="899">
        <f t="shared" si="94"/>
        <v>0</v>
      </c>
      <c r="AX873" s="899">
        <f>INDEX(V873:AG873,1,MATCH(Parametres!$B$3,V$1:AG$1,0))*IF(OR(C873="L",C873="S",C873="I"),-1,1)</f>
        <v>0</v>
      </c>
      <c r="AY873" s="487" t="s">
        <v>337</v>
      </c>
      <c r="AZ873" s="487" t="e">
        <f>+VLOOKUP($AJ873,Data_Validation!$A:$E,5,0)</f>
        <v>#N/A</v>
      </c>
    </row>
    <row r="874" spans="1:52" ht="15" customHeight="1">
      <c r="A874" s="706" t="s">
        <v>1148</v>
      </c>
      <c r="B874" s="706">
        <v>2025</v>
      </c>
      <c r="C874" s="706" t="s">
        <v>3048</v>
      </c>
      <c r="D874" s="706" t="s">
        <v>3049</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9"/>
        <v>G811C</v>
      </c>
      <c r="AK874" s="905" t="str">
        <f t="shared" si="90"/>
        <v>COUT-ACCESSOIRES USAGE</v>
      </c>
      <c r="AL874" s="905">
        <f>IFERROR(INDEX(G874:R874,1,MATCH(Parametres!$B$3,G$1:R$1,0)-1)*IF(OR(F874="L",F874="S",F874="I"),-1,1),"")</f>
        <v>0</v>
      </c>
      <c r="AM874" s="905">
        <f t="shared" si="9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92"/>
        <v>G811C</v>
      </c>
      <c r="AU874" s="488" t="str">
        <f t="shared" si="93"/>
        <v>COUT-ACCESSOIRES USAGE</v>
      </c>
      <c r="AV874" s="899">
        <f>IFERROR(INDEX(V874:AG874,1,MATCH(Parametres!$B$3,V$1:AG$1,0)-1)*IF(OR(C874="L",C874="S",C874="I"),-1,1),"")</f>
        <v>0</v>
      </c>
      <c r="AW874" s="899">
        <f t="shared" si="94"/>
        <v>0</v>
      </c>
      <c r="AX874" s="899">
        <f>INDEX(V874:AG874,1,MATCH(Parametres!$B$3,V$1:AG$1,0))*IF(OR(C874="L",C874="S",C874="I"),-1,1)</f>
        <v>0</v>
      </c>
      <c r="AY874" s="487" t="s">
        <v>337</v>
      </c>
      <c r="AZ874" s="487" t="e">
        <f>+VLOOKUP($AJ874,Data_Validation!$A:$E,5,0)</f>
        <v>#N/A</v>
      </c>
    </row>
    <row r="875" spans="1:52" ht="15" customHeight="1">
      <c r="A875" s="706" t="s">
        <v>1148</v>
      </c>
      <c r="B875" s="706">
        <v>2025</v>
      </c>
      <c r="C875" s="706" t="s">
        <v>3050</v>
      </c>
      <c r="D875" s="706" t="s">
        <v>3051</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9"/>
        <v>G82200</v>
      </c>
      <c r="AK875" s="905" t="str">
        <f t="shared" si="90"/>
        <v>AUTRES REVENUS VEH. NEUFS</v>
      </c>
      <c r="AL875" s="905">
        <f>IFERROR(INDEX(G875:R875,1,MATCH(Parametres!$B$3,G$1:R$1,0)-1)*IF(OR(F875="L",F875="S",F875="I"),-1,1),"")</f>
        <v>0</v>
      </c>
      <c r="AM875" s="905">
        <f t="shared" si="9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92"/>
        <v>G82200</v>
      </c>
      <c r="AU875" s="488" t="str">
        <f t="shared" si="93"/>
        <v>AUTRES REVENUS VEH. NEUFS</v>
      </c>
      <c r="AV875" s="899">
        <f>IFERROR(INDEX(V875:AG875,1,MATCH(Parametres!$B$3,V$1:AG$1,0)-1)*IF(OR(C875="L",C875="S",C875="I"),-1,1),"")</f>
        <v>0</v>
      </c>
      <c r="AW875" s="899">
        <f t="shared" si="94"/>
        <v>0</v>
      </c>
      <c r="AX875" s="899">
        <f>INDEX(V875:AG875,1,MATCH(Parametres!$B$3,V$1:AG$1,0))*IF(OR(C875="L",C875="S",C875="I"),-1,1)</f>
        <v>0</v>
      </c>
      <c r="AY875" s="487" t="s">
        <v>337</v>
      </c>
      <c r="AZ875" s="487" t="e">
        <f>+VLOOKUP($AJ875,Data_Validation!$A:$E,5,0)</f>
        <v>#N/A</v>
      </c>
    </row>
    <row r="876" spans="1:52" ht="15" customHeight="1">
      <c r="A876" s="706" t="s">
        <v>1148</v>
      </c>
      <c r="B876" s="706">
        <v>2025</v>
      </c>
      <c r="C876" s="706" t="s">
        <v>3052</v>
      </c>
      <c r="D876" s="706" t="s">
        <v>3053</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9"/>
        <v>G82300</v>
      </c>
      <c r="AK876" s="905" t="str">
        <f t="shared" si="90"/>
        <v>AUTRES REVENUS VEH.USAGÉS</v>
      </c>
      <c r="AL876" s="905">
        <f>IFERROR(INDEX(G876:R876,1,MATCH(Parametres!$B$3,G$1:R$1,0)-1)*IF(OR(F876="L",F876="S",F876="I"),-1,1),"")</f>
        <v>0</v>
      </c>
      <c r="AM876" s="905">
        <f t="shared" si="9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92"/>
        <v>G82300</v>
      </c>
      <c r="AU876" s="488" t="str">
        <f t="shared" si="93"/>
        <v>AUTRES REVENUS VEH.USAGÉS</v>
      </c>
      <c r="AV876" s="899">
        <f>IFERROR(INDEX(V876:AG876,1,MATCH(Parametres!$B$3,V$1:AG$1,0)-1)*IF(OR(C876="L",C876="S",C876="I"),-1,1),"")</f>
        <v>0</v>
      </c>
      <c r="AW876" s="899">
        <f t="shared" si="94"/>
        <v>0</v>
      </c>
      <c r="AX876" s="899">
        <f>INDEX(V876:AG876,1,MATCH(Parametres!$B$3,V$1:AG$1,0))*IF(OR(C876="L",C876="S",C876="I"),-1,1)</f>
        <v>0</v>
      </c>
      <c r="AY876" s="487" t="s">
        <v>337</v>
      </c>
      <c r="AZ876" s="487" t="e">
        <f>+VLOOKUP($AJ876,Data_Validation!$A:$E,5,0)</f>
        <v>#N/A</v>
      </c>
    </row>
    <row r="877" spans="1:52" ht="15" customHeight="1">
      <c r="A877" s="706" t="s">
        <v>1148</v>
      </c>
      <c r="B877" s="706">
        <v>2025</v>
      </c>
      <c r="C877" s="706" t="s">
        <v>3054</v>
      </c>
      <c r="D877" s="706" t="s">
        <v>3055</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9"/>
        <v>G850</v>
      </c>
      <c r="AK877" s="905" t="str">
        <f t="shared" si="90"/>
        <v>RETROFACTURATION F&amp;A NEUF</v>
      </c>
      <c r="AL877" s="905">
        <f>IFERROR(INDEX(G877:R877,1,MATCH(Parametres!$B$3,G$1:R$1,0)-1)*IF(OR(F877="L",F877="S",F877="I"),-1,1),"")</f>
        <v>0</v>
      </c>
      <c r="AM877" s="905">
        <f t="shared" si="9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92"/>
        <v>G850</v>
      </c>
      <c r="AU877" s="488" t="str">
        <f t="shared" si="93"/>
        <v>RETROFACTURATION F&amp;A NEUF</v>
      </c>
      <c r="AV877" s="899">
        <f>IFERROR(INDEX(V877:AG877,1,MATCH(Parametres!$B$3,V$1:AG$1,0)-1)*IF(OR(C877="L",C877="S",C877="I"),-1,1),"")</f>
        <v>0</v>
      </c>
      <c r="AW877" s="899">
        <f t="shared" si="94"/>
        <v>0</v>
      </c>
      <c r="AX877" s="899">
        <f>INDEX(V877:AG877,1,MATCH(Parametres!$B$3,V$1:AG$1,0))*IF(OR(C877="L",C877="S",C877="I"),-1,1)</f>
        <v>0</v>
      </c>
      <c r="AY877" s="487" t="s">
        <v>337</v>
      </c>
      <c r="AZ877" s="487" t="e">
        <f>+VLOOKUP($AJ877,Data_Validation!$A:$E,5,0)</f>
        <v>#N/A</v>
      </c>
    </row>
    <row r="878" spans="1:52" ht="15" customHeight="1">
      <c r="A878" s="706" t="s">
        <v>1148</v>
      </c>
      <c r="B878" s="706">
        <v>2025</v>
      </c>
      <c r="C878" s="706" t="s">
        <v>3056</v>
      </c>
      <c r="D878" s="706" t="s">
        <v>3057</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9"/>
        <v>G851</v>
      </c>
      <c r="AK878" s="905" t="str">
        <f t="shared" si="90"/>
        <v>RETROFACTURATION F&amp;A USAG</v>
      </c>
      <c r="AL878" s="905">
        <f>IFERROR(INDEX(G878:R878,1,MATCH(Parametres!$B$3,G$1:R$1,0)-1)*IF(OR(F878="L",F878="S",F878="I"),-1,1),"")</f>
        <v>0</v>
      </c>
      <c r="AM878" s="905">
        <f t="shared" si="9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92"/>
        <v>G851</v>
      </c>
      <c r="AU878" s="488" t="str">
        <f t="shared" si="93"/>
        <v>RETROFACTURATION F&amp;A USAG</v>
      </c>
      <c r="AV878" s="899">
        <f>IFERROR(INDEX(V878:AG878,1,MATCH(Parametres!$B$3,V$1:AG$1,0)-1)*IF(OR(C878="L",C878="S",C878="I"),-1,1),"")</f>
        <v>0</v>
      </c>
      <c r="AW878" s="899">
        <f t="shared" si="94"/>
        <v>0</v>
      </c>
      <c r="AX878" s="899">
        <f>INDEX(V878:AG878,1,MATCH(Parametres!$B$3,V$1:AG$1,0))*IF(OR(C878="L",C878="S",C878="I"),-1,1)</f>
        <v>0</v>
      </c>
      <c r="AY878" s="487" t="s">
        <v>337</v>
      </c>
      <c r="AZ878" s="487" t="e">
        <f>+VLOOKUP($AJ878,Data_Validation!$A:$E,5,0)</f>
        <v>#N/A</v>
      </c>
    </row>
    <row r="879" spans="1:52" ht="15" customHeight="1">
      <c r="A879" s="706" t="s">
        <v>1148</v>
      </c>
      <c r="B879" s="706">
        <v>2025</v>
      </c>
      <c r="C879" s="706" t="s">
        <v>3058</v>
      </c>
      <c r="D879" s="706" t="s">
        <v>3059</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9"/>
        <v>G853</v>
      </c>
      <c r="AK879" s="905" t="str">
        <f t="shared" si="90"/>
        <v>PERTE REPOSSESSION NEUF</v>
      </c>
      <c r="AL879" s="905">
        <f>IFERROR(INDEX(G879:R879,1,MATCH(Parametres!$B$3,G$1:R$1,0)-1)*IF(OR(F879="L",F879="S",F879="I"),-1,1),"")</f>
        <v>0</v>
      </c>
      <c r="AM879" s="905">
        <f t="shared" si="9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92"/>
        <v>G853</v>
      </c>
      <c r="AU879" s="488" t="str">
        <f t="shared" si="93"/>
        <v>PERTE REPOSSESSION NEUF</v>
      </c>
      <c r="AV879" s="899">
        <f>IFERROR(INDEX(V879:AG879,1,MATCH(Parametres!$B$3,V$1:AG$1,0)-1)*IF(OR(C879="L",C879="S",C879="I"),-1,1),"")</f>
        <v>0</v>
      </c>
      <c r="AW879" s="899">
        <f t="shared" si="94"/>
        <v>0</v>
      </c>
      <c r="AX879" s="899">
        <f>INDEX(V879:AG879,1,MATCH(Parametres!$B$3,V$1:AG$1,0))*IF(OR(C879="L",C879="S",C879="I"),-1,1)</f>
        <v>0</v>
      </c>
      <c r="AY879" s="487" t="s">
        <v>337</v>
      </c>
      <c r="AZ879" s="487" t="e">
        <f>+VLOOKUP($AJ879,Data_Validation!$A:$E,5,0)</f>
        <v>#N/A</v>
      </c>
    </row>
    <row r="880" spans="1:52" ht="15" customHeight="1">
      <c r="A880" s="706" t="s">
        <v>1148</v>
      </c>
      <c r="B880" s="706">
        <v>2025</v>
      </c>
      <c r="C880" s="706" t="s">
        <v>3060</v>
      </c>
      <c r="D880" s="706" t="s">
        <v>3059</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9"/>
        <v>G85300</v>
      </c>
      <c r="AK880" s="905" t="str">
        <f t="shared" si="90"/>
        <v>PERTE REPOSSESSION NEUF</v>
      </c>
      <c r="AL880" s="905">
        <f>IFERROR(INDEX(G880:R880,1,MATCH(Parametres!$B$3,G$1:R$1,0)-1)*IF(OR(F880="L",F880="S",F880="I"),-1,1),"")</f>
        <v>0</v>
      </c>
      <c r="AM880" s="905">
        <f t="shared" si="91"/>
        <v>0</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92"/>
        <v>G85300</v>
      </c>
      <c r="AU880" s="488" t="str">
        <f t="shared" si="93"/>
        <v>PERTE REPOSSESSION NEUF</v>
      </c>
      <c r="AV880" s="899">
        <f>IFERROR(INDEX(V880:AG880,1,MATCH(Parametres!$B$3,V$1:AG$1,0)-1)*IF(OR(C880="L",C880="S",C880="I"),-1,1),"")</f>
        <v>0</v>
      </c>
      <c r="AW880" s="899">
        <f t="shared" si="94"/>
        <v>0</v>
      </c>
      <c r="AX880" s="899">
        <f>INDEX(V880:AG880,1,MATCH(Parametres!$B$3,V$1:AG$1,0))*IF(OR(C880="L",C880="S",C880="I"),-1,1)</f>
        <v>0</v>
      </c>
      <c r="AY880" s="487" t="s">
        <v>337</v>
      </c>
      <c r="AZ880" s="487">
        <f>+VLOOKUP($AJ880,Data_Validation!$A:$E,5,0)</f>
        <v>0</v>
      </c>
    </row>
    <row r="881" spans="1:52" ht="15" customHeight="1">
      <c r="A881" s="706" t="s">
        <v>1148</v>
      </c>
      <c r="B881" s="706">
        <v>2025</v>
      </c>
      <c r="C881" s="706" t="s">
        <v>3061</v>
      </c>
      <c r="D881" s="706" t="s">
        <v>3062</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9"/>
        <v>G854</v>
      </c>
      <c r="AK881" s="905" t="str">
        <f t="shared" si="90"/>
        <v>PERTE REPOSSESSION USAG</v>
      </c>
      <c r="AL881" s="905">
        <f>IFERROR(INDEX(G881:R881,1,MATCH(Parametres!$B$3,G$1:R$1,0)-1)*IF(OR(F881="L",F881="S",F881="I"),-1,1),"")</f>
        <v>0</v>
      </c>
      <c r="AM881" s="905">
        <f t="shared" si="9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92"/>
        <v>G854</v>
      </c>
      <c r="AU881" s="488" t="str">
        <f t="shared" si="93"/>
        <v>PERTE REPOSSESSION USAG</v>
      </c>
      <c r="AV881" s="899">
        <f>IFERROR(INDEX(V881:AG881,1,MATCH(Parametres!$B$3,V$1:AG$1,0)-1)*IF(OR(C881="L",C881="S",C881="I"),-1,1),"")</f>
        <v>0</v>
      </c>
      <c r="AW881" s="899">
        <f t="shared" si="94"/>
        <v>0</v>
      </c>
      <c r="AX881" s="899">
        <f>INDEX(V881:AG881,1,MATCH(Parametres!$B$3,V$1:AG$1,0))*IF(OR(C881="L",C881="S",C881="I"),-1,1)</f>
        <v>0</v>
      </c>
      <c r="AY881" s="487" t="s">
        <v>337</v>
      </c>
      <c r="AZ881" s="487" t="e">
        <f>+VLOOKUP($AJ881,Data_Validation!$A:$E,5,0)</f>
        <v>#N/A</v>
      </c>
    </row>
    <row r="882" spans="1:52" ht="15" customHeight="1">
      <c r="A882" s="706" t="s">
        <v>1148</v>
      </c>
      <c r="B882" s="706">
        <v>2025</v>
      </c>
      <c r="C882" s="706" t="s">
        <v>3063</v>
      </c>
      <c r="D882" s="706" t="s">
        <v>3064</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9"/>
        <v>G85400</v>
      </c>
      <c r="AK882" s="905" t="str">
        <f t="shared" si="90"/>
        <v>PERTE REPOSSESSION USAGE</v>
      </c>
      <c r="AL882" s="905">
        <f>IFERROR(INDEX(G882:R882,1,MATCH(Parametres!$B$3,G$1:R$1,0)-1)*IF(OR(F882="L",F882="S",F882="I"),-1,1),"")</f>
        <v>0</v>
      </c>
      <c r="AM882" s="905">
        <f t="shared" si="91"/>
        <v>0</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92"/>
        <v>G85400</v>
      </c>
      <c r="AU882" s="488" t="str">
        <f t="shared" si="93"/>
        <v>PERTE REPOSSESSION USAGE</v>
      </c>
      <c r="AV882" s="899">
        <f>IFERROR(INDEX(V882:AG882,1,MATCH(Parametres!$B$3,V$1:AG$1,0)-1)*IF(OR(C882="L",C882="S",C882="I"),-1,1),"")</f>
        <v>0</v>
      </c>
      <c r="AW882" s="899">
        <f t="shared" si="94"/>
        <v>0</v>
      </c>
      <c r="AX882" s="899">
        <f>INDEX(V882:AG882,1,MATCH(Parametres!$B$3,V$1:AG$1,0))*IF(OR(C882="L",C882="S",C882="I"),-1,1)</f>
        <v>0</v>
      </c>
      <c r="AY882" s="487" t="s">
        <v>337</v>
      </c>
      <c r="AZ882" s="487">
        <f>+VLOOKUP($AJ882,Data_Validation!$A:$E,5,0)</f>
        <v>0</v>
      </c>
    </row>
    <row r="883" spans="1:52" ht="15" customHeight="1">
      <c r="A883" s="706" t="s">
        <v>1148</v>
      </c>
      <c r="B883" s="706">
        <v>2025</v>
      </c>
      <c r="C883" s="706" t="s">
        <v>3065</v>
      </c>
      <c r="D883" s="706" t="s">
        <v>3066</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9"/>
        <v>G855</v>
      </c>
      <c r="AK883" s="905" t="str">
        <f t="shared" si="90"/>
        <v>REMUNERATION F&amp;A NEUF</v>
      </c>
      <c r="AL883" s="905">
        <f>IFERROR(INDEX(G883:R883,1,MATCH(Parametres!$B$3,G$1:R$1,0)-1)*IF(OR(F883="L",F883="S",F883="I"),-1,1),"")</f>
        <v>0</v>
      </c>
      <c r="AM883" s="905">
        <f t="shared" si="9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92"/>
        <v>G855</v>
      </c>
      <c r="AU883" s="488" t="str">
        <f t="shared" si="93"/>
        <v>REMUNERATION F&amp;A NEUF</v>
      </c>
      <c r="AV883" s="899">
        <f>IFERROR(INDEX(V883:AG883,1,MATCH(Parametres!$B$3,V$1:AG$1,0)-1)*IF(OR(C883="L",C883="S",C883="I"),-1,1),"")</f>
        <v>0</v>
      </c>
      <c r="AW883" s="899">
        <f t="shared" si="94"/>
        <v>0</v>
      </c>
      <c r="AX883" s="899">
        <f>INDEX(V883:AG883,1,MATCH(Parametres!$B$3,V$1:AG$1,0))*IF(OR(C883="L",C883="S",C883="I"),-1,1)</f>
        <v>0</v>
      </c>
      <c r="AY883" s="487" t="s">
        <v>337</v>
      </c>
      <c r="AZ883" s="487" t="e">
        <f>+VLOOKUP($AJ883,Data_Validation!$A:$E,5,0)</f>
        <v>#N/A</v>
      </c>
    </row>
    <row r="884" spans="1:52" ht="15" hidden="1" customHeight="1">
      <c r="A884" s="706" t="s">
        <v>1148</v>
      </c>
      <c r="B884" s="706">
        <v>2025</v>
      </c>
      <c r="C884" s="706" t="s">
        <v>3067</v>
      </c>
      <c r="D884" s="706" t="s">
        <v>3068</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9"/>
        <v>G85500</v>
      </c>
      <c r="AK884" s="905" t="str">
        <f t="shared" si="90"/>
        <v>REMUNERATION F&amp;I NEUF</v>
      </c>
      <c r="AL884" s="905">
        <f>IFERROR(INDEX(G884:R884,1,MATCH(Parametres!$B$3,G$1:R$1,0)-1)*IF(OR(F884="L",F884="S",F884="I"),-1,1),"")</f>
        <v>122702.1</v>
      </c>
      <c r="AM884" s="905">
        <f t="shared" si="91"/>
        <v>8728.9700000000012</v>
      </c>
      <c r="AN884" s="905">
        <f>INDEX(G884:R884,1,MATCH(Parametres!$B$3,G$1:R$1,0))*IF(OR(F884="L",F884="S",F884="I"),-1,1)</f>
        <v>131431.07</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92"/>
        <v>G85500</v>
      </c>
      <c r="AU884" s="488" t="str">
        <f t="shared" si="93"/>
        <v>REMUNERATION F&amp;I NEUF</v>
      </c>
      <c r="AV884" s="899">
        <f>IFERROR(INDEX(V884:AG884,1,MATCH(Parametres!$B$3,V$1:AG$1,0)-1)*IF(OR(C884="L",C884="S",C884="I"),-1,1),"")</f>
        <v>0</v>
      </c>
      <c r="AW884" s="899">
        <f t="shared" si="94"/>
        <v>0</v>
      </c>
      <c r="AX884" s="899">
        <f>INDEX(V884:AG884,1,MATCH(Parametres!$B$3,V$1:AG$1,0))*IF(OR(C884="L",C884="S",C884="I"),-1,1)</f>
        <v>0</v>
      </c>
      <c r="AY884" s="487" t="s">
        <v>337</v>
      </c>
      <c r="AZ884" s="487">
        <f>+VLOOKUP($AJ884,Data_Validation!$A:$E,5,0)</f>
        <v>0</v>
      </c>
    </row>
    <row r="885" spans="1:52" ht="15" customHeight="1">
      <c r="A885" s="706" t="s">
        <v>1148</v>
      </c>
      <c r="B885" s="706">
        <v>2025</v>
      </c>
      <c r="C885" s="706" t="s">
        <v>3069</v>
      </c>
      <c r="D885" s="706" t="s">
        <v>3070</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9"/>
        <v>G856</v>
      </c>
      <c r="AK885" s="905" t="str">
        <f t="shared" si="90"/>
        <v>REMUNERATION F&amp;A USAGE</v>
      </c>
      <c r="AL885" s="905">
        <f>IFERROR(INDEX(G885:R885,1,MATCH(Parametres!$B$3,G$1:R$1,0)-1)*IF(OR(F885="L",F885="S",F885="I"),-1,1),"")</f>
        <v>0</v>
      </c>
      <c r="AM885" s="905">
        <f t="shared" si="9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92"/>
        <v>G856</v>
      </c>
      <c r="AU885" s="488" t="str">
        <f t="shared" si="93"/>
        <v>REMUNERATION F&amp;A USAGE</v>
      </c>
      <c r="AV885" s="899">
        <f>IFERROR(INDEX(V885:AG885,1,MATCH(Parametres!$B$3,V$1:AG$1,0)-1)*IF(OR(C885="L",C885="S",C885="I"),-1,1),"")</f>
        <v>0</v>
      </c>
      <c r="AW885" s="899">
        <f t="shared" si="94"/>
        <v>0</v>
      </c>
      <c r="AX885" s="899">
        <f>INDEX(V885:AG885,1,MATCH(Parametres!$B$3,V$1:AG$1,0))*IF(OR(C885="L",C885="S",C885="I"),-1,1)</f>
        <v>0</v>
      </c>
      <c r="AY885" s="487" t="s">
        <v>337</v>
      </c>
      <c r="AZ885" s="487" t="e">
        <f>+VLOOKUP($AJ885,Data_Validation!$A:$E,5,0)</f>
        <v>#N/A</v>
      </c>
    </row>
    <row r="886" spans="1:52" ht="15" hidden="1" customHeight="1">
      <c r="A886" s="706" t="s">
        <v>1148</v>
      </c>
      <c r="B886" s="706">
        <v>2025</v>
      </c>
      <c r="C886" s="706" t="s">
        <v>3071</v>
      </c>
      <c r="D886" s="706" t="s">
        <v>3072</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9"/>
        <v>G85600</v>
      </c>
      <c r="AK886" s="905" t="str">
        <f t="shared" si="90"/>
        <v>REMUNERATION F&amp;I USAGE</v>
      </c>
      <c r="AL886" s="905">
        <f>IFERROR(INDEX(G886:R886,1,MATCH(Parametres!$B$3,G$1:R$1,0)-1)*IF(OR(F886="L",F886="S",F886="I"),-1,1),"")</f>
        <v>21963.919999999998</v>
      </c>
      <c r="AM886" s="905">
        <f t="shared" si="91"/>
        <v>4107.1200000000026</v>
      </c>
      <c r="AN886" s="905">
        <f>INDEX(G886:R886,1,MATCH(Parametres!$B$3,G$1:R$1,0))*IF(OR(F886="L",F886="S",F886="I"),-1,1)</f>
        <v>26071.040000000001</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92"/>
        <v>G85600</v>
      </c>
      <c r="AU886" s="488" t="str">
        <f t="shared" si="93"/>
        <v>REMUNERATION F&amp;I USAGE</v>
      </c>
      <c r="AV886" s="899">
        <f>IFERROR(INDEX(V886:AG886,1,MATCH(Parametres!$B$3,V$1:AG$1,0)-1)*IF(OR(C886="L",C886="S",C886="I"),-1,1),"")</f>
        <v>0</v>
      </c>
      <c r="AW886" s="899">
        <f t="shared" si="94"/>
        <v>0</v>
      </c>
      <c r="AX886" s="899">
        <f>INDEX(V886:AG886,1,MATCH(Parametres!$B$3,V$1:AG$1,0))*IF(OR(C886="L",C886="S",C886="I"),-1,1)</f>
        <v>0</v>
      </c>
      <c r="AY886" s="487" t="s">
        <v>337</v>
      </c>
      <c r="AZ886" s="487">
        <f>+VLOOKUP($AJ886,Data_Validation!$A:$E,5,0)</f>
        <v>0</v>
      </c>
    </row>
    <row r="887" spans="1:52" ht="15" customHeight="1">
      <c r="A887" s="706" t="s">
        <v>1148</v>
      </c>
      <c r="B887" s="706">
        <v>2025</v>
      </c>
      <c r="C887" s="706" t="s">
        <v>3073</v>
      </c>
      <c r="D887" s="706" t="s">
        <v>3051</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9"/>
        <v>G87200</v>
      </c>
      <c r="AK887" s="905" t="str">
        <f t="shared" si="90"/>
        <v>AUTRES REVENUS VEH. NEUFS</v>
      </c>
      <c r="AL887" s="905">
        <f>IFERROR(INDEX(G887:R887,1,MATCH(Parametres!$B$3,G$1:R$1,0)-1)*IF(OR(F887="L",F887="S",F887="I"),-1,1),"")</f>
        <v>0</v>
      </c>
      <c r="AM887" s="905">
        <f t="shared" si="9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92"/>
        <v>G87200</v>
      </c>
      <c r="AU887" s="488" t="str">
        <f t="shared" si="93"/>
        <v>AUTRES REVENUS VEH. NEUFS</v>
      </c>
      <c r="AV887" s="899">
        <f>IFERROR(INDEX(V887:AG887,1,MATCH(Parametres!$B$3,V$1:AG$1,0)-1)*IF(OR(C887="L",C887="S",C887="I"),-1,1),"")</f>
        <v>0</v>
      </c>
      <c r="AW887" s="899">
        <f t="shared" si="94"/>
        <v>0</v>
      </c>
      <c r="AX887" s="899">
        <f>INDEX(V887:AG887,1,MATCH(Parametres!$B$3,V$1:AG$1,0))*IF(OR(C887="L",C887="S",C887="I"),-1,1)</f>
        <v>0</v>
      </c>
      <c r="AY887" s="487" t="s">
        <v>337</v>
      </c>
      <c r="AZ887" s="487" t="e">
        <f>+VLOOKUP($AJ887,Data_Validation!$A:$E,5,0)</f>
        <v>#N/A</v>
      </c>
    </row>
    <row r="888" spans="1:52" ht="15" customHeight="1">
      <c r="A888" s="706" t="s">
        <v>1148</v>
      </c>
      <c r="B888" s="706">
        <v>2025</v>
      </c>
      <c r="C888" s="706" t="s">
        <v>3074</v>
      </c>
      <c r="D888" s="706" t="s">
        <v>3075</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9"/>
        <v>G87300</v>
      </c>
      <c r="AK888" s="905" t="str">
        <f t="shared" si="90"/>
        <v>AUTRES REVENUS VEH.USAGES</v>
      </c>
      <c r="AL888" s="905">
        <f>IFERROR(INDEX(G888:R888,1,MATCH(Parametres!$B$3,G$1:R$1,0)-1)*IF(OR(F888="L",F888="S",F888="I"),-1,1),"")</f>
        <v>0</v>
      </c>
      <c r="AM888" s="905">
        <f t="shared" si="9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92"/>
        <v>G87300</v>
      </c>
      <c r="AU888" s="488" t="str">
        <f t="shared" si="93"/>
        <v>AUTRES REVENUS VEH.USAGES</v>
      </c>
      <c r="AV888" s="899">
        <f>IFERROR(INDEX(V888:AG888,1,MATCH(Parametres!$B$3,V$1:AG$1,0)-1)*IF(OR(C888="L",C888="S",C888="I"),-1,1),"")</f>
        <v>0</v>
      </c>
      <c r="AW888" s="899">
        <f t="shared" si="94"/>
        <v>0</v>
      </c>
      <c r="AX888" s="899">
        <f>INDEX(V888:AG888,1,MATCH(Parametres!$B$3,V$1:AG$1,0))*IF(OR(C888="L",C888="S",C888="I"),-1,1)</f>
        <v>0</v>
      </c>
      <c r="AY888" s="487" t="s">
        <v>337</v>
      </c>
      <c r="AZ888" s="487" t="e">
        <f>+VLOOKUP($AJ888,Data_Validation!$A:$E,5,0)</f>
        <v>#N/A</v>
      </c>
    </row>
    <row r="889" spans="1:52" ht="15" customHeight="1">
      <c r="A889" s="706" t="s">
        <v>1148</v>
      </c>
      <c r="B889" s="706">
        <v>2025</v>
      </c>
      <c r="C889" s="706" t="s">
        <v>3076</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9"/>
        <v>G902</v>
      </c>
      <c r="AK889" s="905" t="str">
        <f t="shared" si="90"/>
        <v>MAUVAISES CREANCES RECOUV</v>
      </c>
      <c r="AL889" s="905">
        <f>IFERROR(INDEX(G889:R889,1,MATCH(Parametres!$B$3,G$1:R$1,0)-1)*IF(OR(F889="L",F889="S",F889="I"),-1,1),"")</f>
        <v>0</v>
      </c>
      <c r="AM889" s="905">
        <f t="shared" si="9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92"/>
        <v>G902</v>
      </c>
      <c r="AU889" s="488" t="str">
        <f t="shared" si="93"/>
        <v>MAUVAISES CREANCES RECOUV</v>
      </c>
      <c r="AV889" s="899">
        <f>IFERROR(INDEX(V889:AG889,1,MATCH(Parametres!$B$3,V$1:AG$1,0)-1)*IF(OR(C889="L",C889="S",C889="I"),-1,1),"")</f>
        <v>0</v>
      </c>
      <c r="AW889" s="899">
        <f t="shared" si="94"/>
        <v>0</v>
      </c>
      <c r="AX889" s="899">
        <f>INDEX(V889:AG889,1,MATCH(Parametres!$B$3,V$1:AG$1,0))*IF(OR(C889="L",C889="S",C889="I"),-1,1)</f>
        <v>0</v>
      </c>
      <c r="AY889" s="487" t="s">
        <v>337</v>
      </c>
      <c r="AZ889" s="487" t="e">
        <f>+VLOOKUP($AJ889,Data_Validation!$A:$E,5,0)</f>
        <v>#N/A</v>
      </c>
    </row>
    <row r="890" spans="1:52" ht="15" customHeight="1">
      <c r="A890" s="706" t="s">
        <v>1148</v>
      </c>
      <c r="B890" s="706">
        <v>2025</v>
      </c>
      <c r="C890" s="706" t="s">
        <v>3077</v>
      </c>
      <c r="D890" s="706" t="s">
        <v>3078</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9"/>
        <v>G90200</v>
      </c>
      <c r="AK890" s="905" t="str">
        <f t="shared" si="90"/>
        <v>RENTREES CREANCES RADIEES</v>
      </c>
      <c r="AL890" s="905">
        <f>IFERROR(INDEX(G890:R890,1,MATCH(Parametres!$B$3,G$1:R$1,0)-1)*IF(OR(F890="L",F890="S",F890="I"),-1,1),"")</f>
        <v>0</v>
      </c>
      <c r="AM890" s="905">
        <f t="shared" si="91"/>
        <v>0</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si="92"/>
        <v>G90200</v>
      </c>
      <c r="AU890" s="488" t="str">
        <f t="shared" si="93"/>
        <v>RENTREES CREANCES RADIEES</v>
      </c>
      <c r="AV890" s="899">
        <f>IFERROR(INDEX(V890:AG890,1,MATCH(Parametres!$B$3,V$1:AG$1,0)-1)*IF(OR(C890="L",C890="S",C890="I"),-1,1),"")</f>
        <v>0</v>
      </c>
      <c r="AW890" s="899">
        <f t="shared" si="94"/>
        <v>0</v>
      </c>
      <c r="AX890" s="899">
        <f>INDEX(V890:AG890,1,MATCH(Parametres!$B$3,V$1:AG$1,0))*IF(OR(C890="L",C890="S",C890="I"),-1,1)</f>
        <v>0</v>
      </c>
      <c r="AY890" s="487" t="s">
        <v>337</v>
      </c>
      <c r="AZ890" s="487">
        <f>+VLOOKUP($AJ890,Data_Validation!$A:$E,5,0)</f>
        <v>0</v>
      </c>
    </row>
    <row r="891" spans="1:52" ht="15" customHeight="1">
      <c r="A891" s="706" t="s">
        <v>1148</v>
      </c>
      <c r="B891" s="706">
        <v>2025</v>
      </c>
      <c r="C891" s="706" t="s">
        <v>3079</v>
      </c>
      <c r="D891" s="706" t="s">
        <v>3080</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9"/>
        <v>G903</v>
      </c>
      <c r="AK891" s="905" t="str">
        <f t="shared" si="90"/>
        <v>ESCOMPTE DE CAISSE GAGNE</v>
      </c>
      <c r="AL891" s="905">
        <f>IFERROR(INDEX(G891:R891,1,MATCH(Parametres!$B$3,G$1:R$1,0)-1)*IF(OR(F891="L",F891="S",F891="I"),-1,1),"")</f>
        <v>0</v>
      </c>
      <c r="AM891" s="905">
        <f t="shared" si="91"/>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92"/>
        <v>G903</v>
      </c>
      <c r="AU891" s="488" t="str">
        <f t="shared" si="93"/>
        <v>ESCOMPTE DE CAISSE GAGNE</v>
      </c>
      <c r="AV891" s="899">
        <f>IFERROR(INDEX(V891:AG891,1,MATCH(Parametres!$B$3,V$1:AG$1,0)-1)*IF(OR(C891="L",C891="S",C891="I"),-1,1),"")</f>
        <v>0</v>
      </c>
      <c r="AW891" s="899">
        <f t="shared" si="94"/>
        <v>0</v>
      </c>
      <c r="AX891" s="899">
        <f>INDEX(V891:AG891,1,MATCH(Parametres!$B$3,V$1:AG$1,0))*IF(OR(C891="L",C891="S",C891="I"),-1,1)</f>
        <v>0</v>
      </c>
      <c r="AY891" s="487" t="s">
        <v>337</v>
      </c>
      <c r="AZ891" s="487" t="e">
        <f>+VLOOKUP($AJ891,Data_Validation!$A:$E,5,0)</f>
        <v>#N/A</v>
      </c>
    </row>
    <row r="892" spans="1:52" ht="15" customHeight="1">
      <c r="A892" s="706" t="s">
        <v>1148</v>
      </c>
      <c r="B892" s="706">
        <v>2025</v>
      </c>
      <c r="C892" s="706" t="s">
        <v>3081</v>
      </c>
      <c r="D892" s="706" t="s">
        <v>3082</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9"/>
        <v>G905</v>
      </c>
      <c r="AK892" s="905" t="str">
        <f t="shared" si="90"/>
        <v>AUTRES REVENUS DIVERS</v>
      </c>
      <c r="AL892" s="905">
        <f>IFERROR(INDEX(G892:R892,1,MATCH(Parametres!$B$3,G$1:R$1,0)-1)*IF(OR(F892="L",F892="S",F892="I"),-1,1),"")</f>
        <v>0</v>
      </c>
      <c r="AM892" s="905">
        <f t="shared" si="91"/>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92"/>
        <v>G905</v>
      </c>
      <c r="AU892" s="488" t="str">
        <f t="shared" si="93"/>
        <v>AUTRES REVENUS DIVERS</v>
      </c>
      <c r="AV892" s="899">
        <f>IFERROR(INDEX(V892:AG892,1,MATCH(Parametres!$B$3,V$1:AG$1,0)-1)*IF(OR(C892="L",C892="S",C892="I"),-1,1),"")</f>
        <v>0</v>
      </c>
      <c r="AW892" s="899">
        <f t="shared" si="94"/>
        <v>0</v>
      </c>
      <c r="AX892" s="899">
        <f>INDEX(V892:AG892,1,MATCH(Parametres!$B$3,V$1:AG$1,0))*IF(OR(C892="L",C892="S",C892="I"),-1,1)</f>
        <v>0</v>
      </c>
      <c r="AY892" s="487" t="s">
        <v>337</v>
      </c>
      <c r="AZ892" s="487" t="e">
        <f>+VLOOKUP($AJ892,Data_Validation!$A:$E,5,0)</f>
        <v>#N/A</v>
      </c>
    </row>
    <row r="893" spans="1:52" ht="15" hidden="1" customHeight="1">
      <c r="A893" s="706" t="s">
        <v>1148</v>
      </c>
      <c r="B893" s="706">
        <v>2025</v>
      </c>
      <c r="C893" s="706" t="s">
        <v>3083</v>
      </c>
      <c r="D893" s="706" t="s">
        <v>3082</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905" t="str">
        <f t="shared" si="89"/>
        <v>G90500</v>
      </c>
      <c r="AK893" s="905" t="str">
        <f t="shared" si="90"/>
        <v>AUTRES REVENUS DIVERS</v>
      </c>
      <c r="AL893" s="905">
        <f>IFERROR(INDEX(G893:R893,1,MATCH(Parametres!$B$3,G$1:R$1,0)-1)*IF(OR(F893="L",F893="S",F893="I"),-1,1),"")</f>
        <v>-403132.56</v>
      </c>
      <c r="AM893" s="905">
        <f t="shared" si="91"/>
        <v>-24462.859999999986</v>
      </c>
      <c r="AN893" s="905">
        <f>INDEX(G893:R893,1,MATCH(Parametres!$B$3,G$1:R$1,0))*IF(OR(F893="L",F893="S",F893="I"),-1,1)</f>
        <v>-427595.42</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92"/>
        <v>G90500</v>
      </c>
      <c r="AU893" s="488" t="str">
        <f t="shared" si="93"/>
        <v>AUTRES REVENUS DIVERS</v>
      </c>
      <c r="AV893" s="899">
        <f>IFERROR(INDEX(V893:AG893,1,MATCH(Parametres!$B$3,V$1:AG$1,0)-1)*IF(OR(C893="L",C893="S",C893="I"),-1,1),"")</f>
        <v>49</v>
      </c>
      <c r="AW893" s="899">
        <f t="shared" si="94"/>
        <v>4</v>
      </c>
      <c r="AX893" s="899">
        <f>INDEX(V893:AG893,1,MATCH(Parametres!$B$3,V$1:AG$1,0))*IF(OR(C893="L",C893="S",C893="I"),-1,1)</f>
        <v>53</v>
      </c>
      <c r="AY893" s="487" t="s">
        <v>337</v>
      </c>
      <c r="AZ893" s="487">
        <f>+VLOOKUP($AJ893,Data_Validation!$A:$E,5,0)</f>
        <v>0</v>
      </c>
    </row>
    <row r="894" spans="1:52" ht="15" hidden="1" customHeight="1">
      <c r="A894" s="706" t="s">
        <v>1148</v>
      </c>
      <c r="B894" s="706">
        <v>2025</v>
      </c>
      <c r="C894" s="706" t="s">
        <v>3088</v>
      </c>
      <c r="D894" s="706" t="s">
        <v>3089</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905" t="str">
        <f t="shared" si="89"/>
        <v>G90900</v>
      </c>
      <c r="AK894" s="905" t="str">
        <f t="shared" si="90"/>
        <v>REMBOURSEMENTS DE GMCL</v>
      </c>
      <c r="AL894" s="905">
        <f>IFERROR(INDEX(G894:R894,1,MATCH(Parametres!$B$3,G$1:R$1,0)-1)*IF(OR(F894="L",F894="S",F894="I"),-1,1),"")</f>
        <v>-230561.58</v>
      </c>
      <c r="AM894" s="905">
        <f t="shared" si="91"/>
        <v>-54404.950000000041</v>
      </c>
      <c r="AN894" s="905">
        <f>INDEX(G894:R894,1,MATCH(Parametres!$B$3,G$1:R$1,0))*IF(OR(F894="L",F894="S",F894="I"),-1,1)</f>
        <v>-284966.53000000003</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92"/>
        <v>G90900</v>
      </c>
      <c r="AU894" s="488" t="str">
        <f t="shared" si="93"/>
        <v>REMBOURSEMENTS DE GMCL</v>
      </c>
      <c r="AV894" s="899">
        <f>IFERROR(INDEX(V894:AG894,1,MATCH(Parametres!$B$3,V$1:AG$1,0)-1)*IF(OR(C894="L",C894="S",C894="I"),-1,1),"")</f>
        <v>13</v>
      </c>
      <c r="AW894" s="899">
        <f t="shared" si="94"/>
        <v>9</v>
      </c>
      <c r="AX894" s="899">
        <f>INDEX(V894:AG894,1,MATCH(Parametres!$B$3,V$1:AG$1,0))*IF(OR(C894="L",C894="S",C894="I"),-1,1)</f>
        <v>22</v>
      </c>
      <c r="AY894" s="487" t="s">
        <v>337</v>
      </c>
      <c r="AZ894" s="487">
        <f>+VLOOKUP($AJ894,Data_Validation!$A:$E,5,0)</f>
        <v>0</v>
      </c>
    </row>
    <row r="895" spans="1:52" ht="15" customHeight="1">
      <c r="A895" s="706" t="s">
        <v>1148</v>
      </c>
      <c r="B895" s="706">
        <v>2025</v>
      </c>
      <c r="C895" s="706" t="s">
        <v>3090</v>
      </c>
      <c r="D895" s="706" t="s">
        <v>3091</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9"/>
        <v>G953</v>
      </c>
      <c r="AK895" s="905" t="str">
        <f t="shared" si="90"/>
        <v>ESCOMPTE ACCORDE</v>
      </c>
      <c r="AL895" s="905">
        <f>IFERROR(INDEX(G895:R895,1,MATCH(Parametres!$B$3,G$1:R$1,0)-1)*IF(OR(F895="L",F895="S",F895="I"),-1,1),"")</f>
        <v>0</v>
      </c>
      <c r="AM895" s="905">
        <f t="shared" si="91"/>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92"/>
        <v>G953</v>
      </c>
      <c r="AU895" s="488" t="str">
        <f t="shared" si="93"/>
        <v>ESCOMPTE ACCORDE</v>
      </c>
      <c r="AV895" s="899">
        <f>IFERROR(INDEX(V895:AG895,1,MATCH(Parametres!$B$3,V$1:AG$1,0)-1)*IF(OR(C895="L",C895="S",C895="I"),-1,1),"")</f>
        <v>0</v>
      </c>
      <c r="AW895" s="899">
        <f t="shared" si="94"/>
        <v>0</v>
      </c>
      <c r="AX895" s="899">
        <f>INDEX(V895:AG895,1,MATCH(Parametres!$B$3,V$1:AG$1,0))*IF(OR(C895="L",C895="S",C895="I"),-1,1)</f>
        <v>0</v>
      </c>
      <c r="AY895" s="487" t="s">
        <v>337</v>
      </c>
      <c r="AZ895" s="487" t="e">
        <f>+VLOOKUP($AJ895,Data_Validation!$A:$E,5,0)</f>
        <v>#N/A</v>
      </c>
    </row>
    <row r="896" spans="1:52" ht="15" customHeight="1">
      <c r="A896" s="706" t="s">
        <v>1148</v>
      </c>
      <c r="B896" s="706">
        <v>2025</v>
      </c>
      <c r="C896" s="706" t="s">
        <v>3092</v>
      </c>
      <c r="D896" s="706" t="s">
        <v>3093</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9"/>
        <v>G955</v>
      </c>
      <c r="AK896" s="905" t="str">
        <f t="shared" si="90"/>
        <v>AUTRES DEDUCTIONS</v>
      </c>
      <c r="AL896" s="905">
        <f>IFERROR(INDEX(G896:R896,1,MATCH(Parametres!$B$3,G$1:R$1,0)-1)*IF(OR(F896="L",F896="S",F896="I"),-1,1),"")</f>
        <v>0</v>
      </c>
      <c r="AM896" s="905">
        <f t="shared" si="91"/>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92"/>
        <v>G955</v>
      </c>
      <c r="AU896" s="488" t="str">
        <f t="shared" si="93"/>
        <v>AUTRES DEDUCTIONS</v>
      </c>
      <c r="AV896" s="899">
        <f>IFERROR(INDEX(V896:AG896,1,MATCH(Parametres!$B$3,V$1:AG$1,0)-1)*IF(OR(C896="L",C896="S",C896="I"),-1,1),"")</f>
        <v>0</v>
      </c>
      <c r="AW896" s="899">
        <f t="shared" si="94"/>
        <v>0</v>
      </c>
      <c r="AX896" s="899">
        <f>INDEX(V896:AG896,1,MATCH(Parametres!$B$3,V$1:AG$1,0))*IF(OR(C896="L",C896="S",C896="I"),-1,1)</f>
        <v>0</v>
      </c>
      <c r="AY896" s="487" t="s">
        <v>337</v>
      </c>
      <c r="AZ896" s="487" t="e">
        <f>+VLOOKUP($AJ896,Data_Validation!$A:$E,5,0)</f>
        <v>#N/A</v>
      </c>
    </row>
    <row r="897" spans="1:52" ht="15" hidden="1" customHeight="1">
      <c r="A897" s="706" t="s">
        <v>1148</v>
      </c>
      <c r="B897" s="706">
        <v>2025</v>
      </c>
      <c r="C897" s="706" t="s">
        <v>3094</v>
      </c>
      <c r="D897" s="706" t="s">
        <v>3093</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9"/>
        <v>G95500</v>
      </c>
      <c r="AK897" s="905" t="str">
        <f t="shared" si="90"/>
        <v>AUTRES DEDUCTIONS</v>
      </c>
      <c r="AL897" s="905">
        <f>IFERROR(INDEX(G897:R897,1,MATCH(Parametres!$B$3,G$1:R$1,0)-1)*IF(OR(F897="L",F897="S",F897="I"),-1,1),"")</f>
        <v>3670.72</v>
      </c>
      <c r="AM897" s="905">
        <f t="shared" si="91"/>
        <v>52.720000000000255</v>
      </c>
      <c r="AN897" s="905">
        <f>INDEX(G897:R897,1,MATCH(Parametres!$B$3,G$1:R$1,0))*IF(OR(F897="L",F897="S",F897="I"),-1,1)</f>
        <v>3723.44</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92"/>
        <v>G95500</v>
      </c>
      <c r="AU897" s="488" t="str">
        <f t="shared" si="93"/>
        <v>AUTRES DEDUCTIONS</v>
      </c>
      <c r="AV897" s="899">
        <f>IFERROR(INDEX(V897:AG897,1,MATCH(Parametres!$B$3,V$1:AG$1,0)-1)*IF(OR(C897="L",C897="S",C897="I"),-1,1),"")</f>
        <v>0</v>
      </c>
      <c r="AW897" s="899">
        <f t="shared" si="94"/>
        <v>0</v>
      </c>
      <c r="AX897" s="899">
        <f>INDEX(V897:AG897,1,MATCH(Parametres!$B$3,V$1:AG$1,0))*IF(OR(C897="L",C897="S",C897="I"),-1,1)</f>
        <v>0</v>
      </c>
      <c r="AY897" s="487" t="s">
        <v>337</v>
      </c>
      <c r="AZ897" s="487">
        <f>+VLOOKUP($AJ897,Data_Validation!$A:$E,5,0)</f>
        <v>0</v>
      </c>
    </row>
    <row r="898" spans="1:52" ht="15" customHeight="1">
      <c r="A898" s="706" t="s">
        <v>1148</v>
      </c>
      <c r="B898" s="706">
        <v>2025</v>
      </c>
      <c r="C898" s="706" t="s">
        <v>3097</v>
      </c>
      <c r="D898" s="706" t="s">
        <v>1784</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9"/>
        <v>G99960</v>
      </c>
      <c r="AK898" s="905" t="str">
        <f t="shared" si="90"/>
        <v>IN &amp; OUT PAYROLL</v>
      </c>
      <c r="AL898" s="905">
        <f>IFERROR(INDEX(G898:R898,1,MATCH(Parametres!$B$3,G$1:R$1,0)-1)*IF(OR(F898="L",F898="S",F898="I"),-1,1),"")</f>
        <v>0</v>
      </c>
      <c r="AM898" s="905">
        <f t="shared" si="91"/>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92"/>
        <v>G99960</v>
      </c>
      <c r="AU898" s="488" t="str">
        <f t="shared" si="93"/>
        <v>IN &amp; OUT PAYROLL</v>
      </c>
      <c r="AV898" s="899">
        <f>IFERROR(INDEX(V898:AG898,1,MATCH(Parametres!$B$3,V$1:AG$1,0)-1)*IF(OR(C898="L",C898="S",C898="I"),-1,1),"")</f>
        <v>0</v>
      </c>
      <c r="AW898" s="899">
        <f t="shared" si="94"/>
        <v>0</v>
      </c>
      <c r="AX898" s="899">
        <f>INDEX(V898:AG898,1,MATCH(Parametres!$B$3,V$1:AG$1,0))*IF(OR(C898="L",C898="S",C898="I"),-1,1)</f>
        <v>0</v>
      </c>
      <c r="AY898" s="487" t="s">
        <v>337</v>
      </c>
      <c r="AZ898" s="487" t="e">
        <f>+VLOOKUP($AJ898,Data_Validation!$A:$E,5,0)</f>
        <v>#N/A</v>
      </c>
    </row>
    <row r="899" spans="1:52" ht="15" hidden="1" customHeight="1">
      <c r="A899" s="706" t="s">
        <v>1148</v>
      </c>
      <c r="B899" s="706">
        <v>2025</v>
      </c>
      <c r="C899" s="706" t="s">
        <v>3098</v>
      </c>
      <c r="D899" s="706" t="s">
        <v>3099</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9"/>
        <v>G9999</v>
      </c>
      <c r="AK899" s="905" t="str">
        <f t="shared" si="90"/>
        <v>CHARGES A REFACTURER</v>
      </c>
      <c r="AL899" s="905">
        <f>IFERROR(INDEX(G899:R899,1,MATCH(Parametres!$B$3,G$1:R$1,0)-1)*IF(OR(F899="L",F899="S",F899="I"),-1,1),"")</f>
        <v>0</v>
      </c>
      <c r="AM899" s="905">
        <f t="shared" si="91"/>
        <v>0</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92"/>
        <v>G9999</v>
      </c>
      <c r="AU899" s="488" t="str">
        <f t="shared" si="93"/>
        <v>CHARGES A REFACTURER</v>
      </c>
      <c r="AV899" s="899">
        <f>IFERROR(INDEX(V899:AG899,1,MATCH(Parametres!$B$3,V$1:AG$1,0)-1)*IF(OR(C899="L",C899="S",C899="I"),-1,1),"")</f>
        <v>0</v>
      </c>
      <c r="AW899" s="899">
        <f t="shared" si="94"/>
        <v>0</v>
      </c>
      <c r="AX899" s="899">
        <f>INDEX(V899:AG899,1,MATCH(Parametres!$B$3,V$1:AG$1,0))*IF(OR(C899="L",C899="S",C899="I"),-1,1)</f>
        <v>0</v>
      </c>
      <c r="AY899" s="487" t="s">
        <v>337</v>
      </c>
      <c r="AZ899" s="487">
        <f>+VLOOKUP($AJ899,Data_Validation!$A:$E,5,0)</f>
        <v>0</v>
      </c>
    </row>
    <row r="900" spans="1:52" ht="15" hidden="1" customHeight="1">
      <c r="AJ900" s="905">
        <f t="shared" si="89"/>
        <v>0</v>
      </c>
      <c r="AK900" s="905">
        <f t="shared" si="90"/>
        <v>0</v>
      </c>
      <c r="AL900" s="905">
        <f>IFERROR(INDEX(G900:R900,1,MATCH(Parametres!$B$3,G$1:R$1,0)-1)*IF(OR(F900="L",F900="S",F900="I"),-1,1),"")</f>
        <v>0</v>
      </c>
      <c r="AM900" s="905">
        <f t="shared" si="91"/>
        <v>0</v>
      </c>
      <c r="AN900" s="905">
        <f>INDEX(G900:R900,1,MATCH(Parametres!$B$3,G$1:R$1,0))*IF(OR(F900="L",F900="S",F900="I"),-1,1)</f>
        <v>0</v>
      </c>
      <c r="AO900" s="487" t="e">
        <f>+VLOOKUP($AJ900,Data_Validation!$A:$D,1,0)</f>
        <v>#N/A</v>
      </c>
      <c r="AP900" s="487" t="e">
        <f>+VLOOKUP($AJ900,Data_Validation!$A:$D,3,0)</f>
        <v>#N/A</v>
      </c>
      <c r="AQ900" s="487" t="e">
        <f>+VLOOKUP($AJ900,Data_Validation!$A:$D,4,0)</f>
        <v>#N/A</v>
      </c>
      <c r="AR900" s="487" t="s">
        <v>299</v>
      </c>
      <c r="AS900" s="487" t="e">
        <f>+VLOOKUP($AJ900,Data_Validation!$A:$E,5,0)</f>
        <v>#N/A</v>
      </c>
      <c r="AT900" s="904">
        <f t="shared" si="92"/>
        <v>0</v>
      </c>
      <c r="AU900" s="488">
        <f t="shared" si="93"/>
        <v>0</v>
      </c>
      <c r="AV900" s="899">
        <f>IFERROR(INDEX(V900:AG900,1,MATCH(Parametres!$B$3,V$1:AG$1,0)-1)*IF(OR(C900="L",C900="S",C900="I"),-1,1),"")</f>
        <v>0</v>
      </c>
      <c r="AW900" s="899">
        <f t="shared" si="94"/>
        <v>0</v>
      </c>
      <c r="AX900" s="899">
        <f>INDEX(V900:AG900,1,MATCH(Parametres!$B$3,V$1:AG$1,0))*IF(OR(C900="L",C900="S",C900="I"),-1,1)</f>
        <v>0</v>
      </c>
      <c r="AY900" s="487" t="s">
        <v>337</v>
      </c>
      <c r="AZ900" s="487" t="e">
        <f>+VLOOKUP($AJ900,Data_Validation!$A:$E,5,0)</f>
        <v>#N/A</v>
      </c>
    </row>
    <row r="901" spans="1:52" ht="15" hidden="1" customHeight="1">
      <c r="AJ901" s="905">
        <f t="shared" si="89"/>
        <v>0</v>
      </c>
      <c r="AK901" s="905">
        <f t="shared" si="90"/>
        <v>0</v>
      </c>
      <c r="AL901" s="905">
        <f>IFERROR(INDEX(G901:R901,1,MATCH(Parametres!$B$3,G$1:R$1,0)-1)*IF(OR(F901="L",F901="S",F901="I"),-1,1),"")</f>
        <v>0</v>
      </c>
      <c r="AM901" s="905">
        <f t="shared" si="91"/>
        <v>0</v>
      </c>
      <c r="AN901" s="905">
        <f>INDEX(G901:R901,1,MATCH(Parametres!$B$3,G$1:R$1,0))*IF(OR(F901="L",F901="S",F901="I"),-1,1)</f>
        <v>0</v>
      </c>
      <c r="AO901" s="487" t="e">
        <f>+VLOOKUP($AJ901,Data_Validation!$A:$D,1,0)</f>
        <v>#N/A</v>
      </c>
      <c r="AP901" s="487" t="e">
        <f>+VLOOKUP($AJ901,Data_Validation!$A:$D,3,0)</f>
        <v>#N/A</v>
      </c>
      <c r="AQ901" s="487" t="e">
        <f>+VLOOKUP($AJ901,Data_Validation!$A:$D,4,0)</f>
        <v>#N/A</v>
      </c>
      <c r="AR901" s="487" t="s">
        <v>299</v>
      </c>
      <c r="AS901" s="487" t="e">
        <f>+VLOOKUP($AJ901,Data_Validation!$A:$E,5,0)</f>
        <v>#N/A</v>
      </c>
      <c r="AT901" s="904">
        <f t="shared" si="92"/>
        <v>0</v>
      </c>
      <c r="AU901" s="488">
        <f t="shared" si="93"/>
        <v>0</v>
      </c>
      <c r="AV901" s="899">
        <f>IFERROR(INDEX(V901:AG901,1,MATCH(Parametres!$B$3,V$1:AG$1,0)-1)*IF(OR(C901="L",C901="S",C901="I"),-1,1),"")</f>
        <v>0</v>
      </c>
      <c r="AW901" s="899">
        <f t="shared" si="94"/>
        <v>0</v>
      </c>
      <c r="AX901" s="899">
        <f>INDEX(V901:AG901,1,MATCH(Parametres!$B$3,V$1:AG$1,0))*IF(OR(C901="L",C901="S",C901="I"),-1,1)</f>
        <v>0</v>
      </c>
      <c r="AY901" s="487" t="s">
        <v>337</v>
      </c>
      <c r="AZ901" s="487" t="e">
        <f>+VLOOKUP($AJ901,Data_Validation!$A:$E,5,0)</f>
        <v>#N/A</v>
      </c>
    </row>
    <row r="902" spans="1:52" ht="15" hidden="1" customHeight="1">
      <c r="AJ902" s="905">
        <f t="shared" si="89"/>
        <v>0</v>
      </c>
      <c r="AK902" s="905">
        <f t="shared" si="90"/>
        <v>0</v>
      </c>
      <c r="AL902" s="905">
        <f>IFERROR(INDEX(G902:R902,1,MATCH(Parametres!$B$3,G$1:R$1,0)-1)*IF(OR(F902="L",F902="S",F902="I"),-1,1),"")</f>
        <v>0</v>
      </c>
      <c r="AM902" s="905">
        <f t="shared" si="91"/>
        <v>0</v>
      </c>
      <c r="AN902" s="905">
        <f>INDEX(G902:R902,1,MATCH(Parametres!$B$3,G$1:R$1,0))*IF(OR(F902="L",F902="S",F902="I"),-1,1)</f>
        <v>0</v>
      </c>
      <c r="AO902" s="487" t="e">
        <f>+VLOOKUP($AJ902,Data_Validation!$A:$D,1,0)</f>
        <v>#N/A</v>
      </c>
      <c r="AP902" s="487" t="e">
        <f>+VLOOKUP($AJ902,Data_Validation!$A:$D,3,0)</f>
        <v>#N/A</v>
      </c>
      <c r="AQ902" s="487" t="e">
        <f>+VLOOKUP($AJ902,Data_Validation!$A:$D,4,0)</f>
        <v>#N/A</v>
      </c>
      <c r="AR902" s="487" t="s">
        <v>299</v>
      </c>
      <c r="AS902" s="487" t="e">
        <f>+VLOOKUP($AJ902,Data_Validation!$A:$E,5,0)</f>
        <v>#N/A</v>
      </c>
      <c r="AT902" s="904">
        <f t="shared" si="92"/>
        <v>0</v>
      </c>
      <c r="AU902" s="488">
        <f t="shared" si="93"/>
        <v>0</v>
      </c>
      <c r="AV902" s="899">
        <f>IFERROR(INDEX(V902:AG902,1,MATCH(Parametres!$B$3,V$1:AG$1,0)-1)*IF(OR(C902="L",C902="S",C902="I"),-1,1),"")</f>
        <v>0</v>
      </c>
      <c r="AW902" s="899">
        <f t="shared" si="94"/>
        <v>0</v>
      </c>
      <c r="AX902" s="899">
        <f>INDEX(V902:AG902,1,MATCH(Parametres!$B$3,V$1:AG$1,0))*IF(OR(C902="L",C902="S",C902="I"),-1,1)</f>
        <v>0</v>
      </c>
      <c r="AY902" s="487" t="s">
        <v>337</v>
      </c>
      <c r="AZ902" s="487" t="e">
        <f>+VLOOKUP($AJ902,Data_Validation!$A:$E,5,0)</f>
        <v>#N/A</v>
      </c>
    </row>
    <row r="903" spans="1:52" ht="15" hidden="1" customHeight="1">
      <c r="AJ903" s="905">
        <f t="shared" si="89"/>
        <v>0</v>
      </c>
      <c r="AK903" s="905">
        <f t="shared" si="90"/>
        <v>0</v>
      </c>
      <c r="AL903" s="905">
        <f>IFERROR(INDEX(G903:R903,1,MATCH(Parametres!$B$3,G$1:R$1,0)-1)*IF(OR(F903="L",F903="S",F903="I"),-1,1),"")</f>
        <v>0</v>
      </c>
      <c r="AM903" s="905">
        <f t="shared" si="91"/>
        <v>0</v>
      </c>
      <c r="AN903" s="905">
        <f>INDEX(G903:R903,1,MATCH(Parametres!$B$3,G$1:R$1,0))*IF(OR(F903="L",F903="S",F903="I"),-1,1)</f>
        <v>0</v>
      </c>
      <c r="AO903" s="487" t="e">
        <f>+VLOOKUP($AJ903,Data_Validation!$A:$D,1,0)</f>
        <v>#N/A</v>
      </c>
      <c r="AP903" s="487" t="e">
        <f>+VLOOKUP($AJ903,Data_Validation!$A:$D,3,0)</f>
        <v>#N/A</v>
      </c>
      <c r="AQ903" s="487" t="e">
        <f>+VLOOKUP($AJ903,Data_Validation!$A:$D,4,0)</f>
        <v>#N/A</v>
      </c>
      <c r="AR903" s="487" t="s">
        <v>299</v>
      </c>
      <c r="AS903" s="487" t="e">
        <f>+VLOOKUP($AJ903,Data_Validation!$A:$E,5,0)</f>
        <v>#N/A</v>
      </c>
      <c r="AT903" s="904">
        <f t="shared" si="92"/>
        <v>0</v>
      </c>
      <c r="AU903" s="488">
        <f t="shared" si="93"/>
        <v>0</v>
      </c>
      <c r="AV903" s="899">
        <f>IFERROR(INDEX(V903:AG903,1,MATCH(Parametres!$B$3,V$1:AG$1,0)-1)*IF(OR(C903="L",C903="S",C903="I"),-1,1),"")</f>
        <v>0</v>
      </c>
      <c r="AW903" s="899">
        <f t="shared" si="94"/>
        <v>0</v>
      </c>
      <c r="AX903" s="899">
        <f>INDEX(V903:AG903,1,MATCH(Parametres!$B$3,V$1:AG$1,0))*IF(OR(C903="L",C903="S",C903="I"),-1,1)</f>
        <v>0</v>
      </c>
      <c r="AY903" s="487" t="s">
        <v>337</v>
      </c>
      <c r="AZ903" s="487" t="e">
        <f>+VLOOKUP($AJ903,Data_Validation!$A:$E,5,0)</f>
        <v>#N/A</v>
      </c>
    </row>
    <row r="904" spans="1:52" ht="15" hidden="1" customHeight="1">
      <c r="AJ904" s="905">
        <f t="shared" si="89"/>
        <v>0</v>
      </c>
      <c r="AK904" s="905">
        <f t="shared" si="90"/>
        <v>0</v>
      </c>
      <c r="AL904" s="905">
        <f>IFERROR(INDEX(G904:R904,1,MATCH(Parametres!$B$3,G$1:R$1,0)-1)*IF(OR(F904="L",F904="S",F904="I"),-1,1),"")</f>
        <v>0</v>
      </c>
      <c r="AM904" s="905">
        <f t="shared" si="91"/>
        <v>0</v>
      </c>
      <c r="AN904" s="905">
        <f>INDEX(G904:R904,1,MATCH(Parametres!$B$3,G$1:R$1,0))*IF(OR(F904="L",F904="S",F904="I"),-1,1)</f>
        <v>0</v>
      </c>
      <c r="AO904" s="487" t="e">
        <f>+VLOOKUP($AJ904,Data_Validation!$A:$D,1,0)</f>
        <v>#N/A</v>
      </c>
      <c r="AP904" s="487" t="e">
        <f>+VLOOKUP($AJ904,Data_Validation!$A:$D,3,0)</f>
        <v>#N/A</v>
      </c>
      <c r="AQ904" s="487" t="e">
        <f>+VLOOKUP($AJ904,Data_Validation!$A:$D,4,0)</f>
        <v>#N/A</v>
      </c>
      <c r="AR904" s="487" t="s">
        <v>299</v>
      </c>
      <c r="AS904" s="487" t="e">
        <f>+VLOOKUP($AJ904,Data_Validation!$A:$E,5,0)</f>
        <v>#N/A</v>
      </c>
      <c r="AT904" s="904">
        <f t="shared" si="92"/>
        <v>0</v>
      </c>
      <c r="AU904" s="488">
        <f t="shared" si="93"/>
        <v>0</v>
      </c>
      <c r="AV904" s="899">
        <f>IFERROR(INDEX(V904:AG904,1,MATCH(Parametres!$B$3,V$1:AG$1,0)-1)*IF(OR(C904="L",C904="S",C904="I"),-1,1),"")</f>
        <v>0</v>
      </c>
      <c r="AW904" s="899">
        <f t="shared" si="94"/>
        <v>0</v>
      </c>
      <c r="AX904" s="899">
        <f>INDEX(V904:AG904,1,MATCH(Parametres!$B$3,V$1:AG$1,0))*IF(OR(C904="L",C904="S",C904="I"),-1,1)</f>
        <v>0</v>
      </c>
      <c r="AY904" s="487" t="s">
        <v>337</v>
      </c>
      <c r="AZ904" s="487" t="e">
        <f>+VLOOKUP($AJ904,Data_Validation!$A:$E,5,0)</f>
        <v>#N/A</v>
      </c>
    </row>
    <row r="905" spans="1:52" ht="15" hidden="1" customHeight="1">
      <c r="AJ905" s="905">
        <f t="shared" si="89"/>
        <v>0</v>
      </c>
      <c r="AK905" s="905">
        <f t="shared" si="90"/>
        <v>0</v>
      </c>
      <c r="AL905" s="905">
        <f>IFERROR(INDEX(G905:R905,1,MATCH(Parametres!$B$3,G$1:R$1,0)-1)*IF(OR(F905="L",F905="S",F905="I"),-1,1),"")</f>
        <v>0</v>
      </c>
      <c r="AM905" s="905">
        <f t="shared" si="91"/>
        <v>0</v>
      </c>
      <c r="AN905" s="905">
        <f>INDEX(G905:R905,1,MATCH(Parametres!$B$3,G$1:R$1,0))*IF(OR(F905="L",F905="S",F905="I"),-1,1)</f>
        <v>0</v>
      </c>
      <c r="AO905" s="487" t="e">
        <f>+VLOOKUP($AJ905,Data_Validation!$A:$D,1,0)</f>
        <v>#N/A</v>
      </c>
      <c r="AP905" s="487" t="e">
        <f>+VLOOKUP($AJ905,Data_Validation!$A:$D,3,0)</f>
        <v>#N/A</v>
      </c>
      <c r="AQ905" s="487" t="e">
        <f>+VLOOKUP($AJ905,Data_Validation!$A:$D,4,0)</f>
        <v>#N/A</v>
      </c>
      <c r="AR905" s="487" t="s">
        <v>299</v>
      </c>
      <c r="AS905" s="487" t="e">
        <f>+VLOOKUP($AJ905,Data_Validation!$A:$E,5,0)</f>
        <v>#N/A</v>
      </c>
      <c r="AT905" s="904">
        <f t="shared" si="92"/>
        <v>0</v>
      </c>
      <c r="AU905" s="488">
        <f t="shared" si="93"/>
        <v>0</v>
      </c>
      <c r="AV905" s="899">
        <f>IFERROR(INDEX(V905:AG905,1,MATCH(Parametres!$B$3,V$1:AG$1,0)-1)*IF(OR(C905="L",C905="S",C905="I"),-1,1),"")</f>
        <v>0</v>
      </c>
      <c r="AW905" s="899">
        <f t="shared" si="94"/>
        <v>0</v>
      </c>
      <c r="AX905" s="899">
        <f>INDEX(V905:AG905,1,MATCH(Parametres!$B$3,V$1:AG$1,0))*IF(OR(C905="L",C905="S",C905="I"),-1,1)</f>
        <v>0</v>
      </c>
      <c r="AY905" s="487" t="s">
        <v>337</v>
      </c>
      <c r="AZ905" s="487" t="e">
        <f>+VLOOKUP($AJ905,Data_Validation!$A:$E,5,0)</f>
        <v>#N/A</v>
      </c>
    </row>
    <row r="906" spans="1:52" ht="15" hidden="1" customHeight="1">
      <c r="AJ906" s="905">
        <f t="shared" si="89"/>
        <v>0</v>
      </c>
      <c r="AK906" s="905">
        <f t="shared" si="90"/>
        <v>0</v>
      </c>
      <c r="AL906" s="905">
        <f>IFERROR(INDEX(G906:R906,1,MATCH(Parametres!$B$3,G$1:R$1,0)-1)*IF(OR(F906="L",F906="S",F906="I"),-1,1),"")</f>
        <v>0</v>
      </c>
      <c r="AM906" s="905">
        <f t="shared" si="91"/>
        <v>0</v>
      </c>
      <c r="AN906" s="905">
        <f>INDEX(G906:R906,1,MATCH(Parametres!$B$3,G$1:R$1,0))*IF(OR(F906="L",F906="S",F906="I"),-1,1)</f>
        <v>0</v>
      </c>
      <c r="AO906" s="487" t="e">
        <f>+VLOOKUP($AJ906,Data_Validation!$A:$D,1,0)</f>
        <v>#N/A</v>
      </c>
      <c r="AP906" s="487" t="e">
        <f>+VLOOKUP($AJ906,Data_Validation!$A:$D,3,0)</f>
        <v>#N/A</v>
      </c>
      <c r="AQ906" s="487" t="e">
        <f>+VLOOKUP($AJ906,Data_Validation!$A:$D,4,0)</f>
        <v>#N/A</v>
      </c>
      <c r="AR906" s="487" t="s">
        <v>299</v>
      </c>
      <c r="AS906" s="487" t="e">
        <f>+VLOOKUP($AJ906,Data_Validation!$A:$E,5,0)</f>
        <v>#N/A</v>
      </c>
      <c r="AT906" s="904">
        <f t="shared" si="92"/>
        <v>0</v>
      </c>
      <c r="AU906" s="488">
        <f t="shared" si="93"/>
        <v>0</v>
      </c>
      <c r="AV906" s="899">
        <f>IFERROR(INDEX(V906:AG906,1,MATCH(Parametres!$B$3,V$1:AG$1,0)-1)*IF(OR(C906="L",C906="S",C906="I"),-1,1),"")</f>
        <v>0</v>
      </c>
      <c r="AW906" s="899">
        <f t="shared" si="94"/>
        <v>0</v>
      </c>
      <c r="AX906" s="899">
        <f>INDEX(V906:AG906,1,MATCH(Parametres!$B$3,V$1:AG$1,0))*IF(OR(C906="L",C906="S",C906="I"),-1,1)</f>
        <v>0</v>
      </c>
      <c r="AY906" s="487" t="s">
        <v>337</v>
      </c>
      <c r="AZ906" s="487" t="e">
        <f>+VLOOKUP($AJ906,Data_Validation!$A:$E,5,0)</f>
        <v>#N/A</v>
      </c>
    </row>
    <row r="907" spans="1:52" ht="15" hidden="1" customHeight="1">
      <c r="AJ907" s="905">
        <f t="shared" si="89"/>
        <v>0</v>
      </c>
      <c r="AK907" s="905">
        <f t="shared" si="90"/>
        <v>0</v>
      </c>
      <c r="AL907" s="905">
        <f>IFERROR(INDEX(G907:R907,1,MATCH(Parametres!$B$3,G$1:R$1,0)-1)*IF(OR(F907="L",F907="S",F907="I"),-1,1),"")</f>
        <v>0</v>
      </c>
      <c r="AM907" s="905">
        <f t="shared" si="91"/>
        <v>0</v>
      </c>
      <c r="AN907" s="905">
        <f>INDEX(G907:R907,1,MATCH(Parametres!$B$3,G$1:R$1,0))*IF(OR(F907="L",F907="S",F907="I"),-1,1)</f>
        <v>0</v>
      </c>
      <c r="AO907" s="487" t="e">
        <f>+VLOOKUP($AJ907,Data_Validation!$A:$D,1,0)</f>
        <v>#N/A</v>
      </c>
      <c r="AP907" s="487" t="e">
        <f>+VLOOKUP($AJ907,Data_Validation!$A:$D,3,0)</f>
        <v>#N/A</v>
      </c>
      <c r="AQ907" s="487" t="e">
        <f>+VLOOKUP($AJ907,Data_Validation!$A:$D,4,0)</f>
        <v>#N/A</v>
      </c>
      <c r="AR907" s="487" t="s">
        <v>299</v>
      </c>
      <c r="AS907" s="487" t="e">
        <f>+VLOOKUP($AJ907,Data_Validation!$A:$E,5,0)</f>
        <v>#N/A</v>
      </c>
      <c r="AT907" s="904">
        <f t="shared" si="92"/>
        <v>0</v>
      </c>
      <c r="AU907" s="488">
        <f t="shared" si="93"/>
        <v>0</v>
      </c>
      <c r="AV907" s="899">
        <f>IFERROR(INDEX(V907:AG907,1,MATCH(Parametres!$B$3,V$1:AG$1,0)-1)*IF(OR(C907="L",C907="S",C907="I"),-1,1),"")</f>
        <v>0</v>
      </c>
      <c r="AW907" s="899">
        <f t="shared" si="94"/>
        <v>0</v>
      </c>
      <c r="AX907" s="899">
        <f>INDEX(V907:AG907,1,MATCH(Parametres!$B$3,V$1:AG$1,0))*IF(OR(C907="L",C907="S",C907="I"),-1,1)</f>
        <v>0</v>
      </c>
      <c r="AY907" s="487" t="s">
        <v>337</v>
      </c>
      <c r="AZ907" s="487" t="e">
        <f>+VLOOKUP($AJ907,Data_Validation!$A:$E,5,0)</f>
        <v>#N/A</v>
      </c>
    </row>
    <row r="908" spans="1:52" ht="15" hidden="1" customHeight="1">
      <c r="AJ908" s="905">
        <f t="shared" si="89"/>
        <v>0</v>
      </c>
      <c r="AK908" s="905">
        <f t="shared" si="90"/>
        <v>0</v>
      </c>
      <c r="AL908" s="905">
        <f>IFERROR(INDEX(G908:R908,1,MATCH(Parametres!$B$3,G$1:R$1,0)-1)*IF(OR(F908="L",F908="S",F908="I"),-1,1),"")</f>
        <v>0</v>
      </c>
      <c r="AM908" s="905">
        <f t="shared" si="91"/>
        <v>0</v>
      </c>
      <c r="AN908" s="905">
        <f>INDEX(G908:R908,1,MATCH(Parametres!$B$3,G$1:R$1,0))*IF(OR(F908="L",F908="S",F908="I"),-1,1)</f>
        <v>0</v>
      </c>
      <c r="AO908" s="487" t="e">
        <f>+VLOOKUP($AJ908,Data_Validation!$A:$D,1,0)</f>
        <v>#N/A</v>
      </c>
      <c r="AP908" s="487" t="e">
        <f>+VLOOKUP($AJ908,Data_Validation!$A:$D,3,0)</f>
        <v>#N/A</v>
      </c>
      <c r="AQ908" s="487" t="e">
        <f>+VLOOKUP($AJ908,Data_Validation!$A:$D,4,0)</f>
        <v>#N/A</v>
      </c>
      <c r="AR908" s="487" t="s">
        <v>299</v>
      </c>
      <c r="AS908" s="487" t="e">
        <f>+VLOOKUP($AJ908,Data_Validation!$A:$E,5,0)</f>
        <v>#N/A</v>
      </c>
      <c r="AT908" s="904">
        <f t="shared" si="92"/>
        <v>0</v>
      </c>
      <c r="AU908" s="488">
        <f t="shared" si="93"/>
        <v>0</v>
      </c>
      <c r="AV908" s="899">
        <f>IFERROR(INDEX(V908:AG908,1,MATCH(Parametres!$B$3,V$1:AG$1,0)-1)*IF(OR(C908="L",C908="S",C908="I"),-1,1),"")</f>
        <v>0</v>
      </c>
      <c r="AW908" s="899">
        <f t="shared" si="94"/>
        <v>0</v>
      </c>
      <c r="AX908" s="899">
        <f>INDEX(V908:AG908,1,MATCH(Parametres!$B$3,V$1:AG$1,0))*IF(OR(C908="L",C908="S",C908="I"),-1,1)</f>
        <v>0</v>
      </c>
      <c r="AY908" s="487" t="s">
        <v>337</v>
      </c>
      <c r="AZ908" s="487" t="e">
        <f>+VLOOKUP($AJ908,Data_Validation!$A:$E,5,0)</f>
        <v>#N/A</v>
      </c>
    </row>
    <row r="909" spans="1:52" ht="15" hidden="1" customHeight="1">
      <c r="AJ909" s="905">
        <f t="shared" si="89"/>
        <v>0</v>
      </c>
      <c r="AK909" s="905">
        <f t="shared" si="90"/>
        <v>0</v>
      </c>
      <c r="AL909" s="905">
        <f>IFERROR(INDEX(G909:R909,1,MATCH(Parametres!$B$3,G$1:R$1,0)-1)*IF(OR(F909="L",F909="S",F909="I"),-1,1),"")</f>
        <v>0</v>
      </c>
      <c r="AM909" s="905">
        <f t="shared" si="91"/>
        <v>0</v>
      </c>
      <c r="AN909" s="905">
        <f>INDEX(G909:R909,1,MATCH(Parametres!$B$3,G$1:R$1,0))*IF(OR(F909="L",F909="S",F909="I"),-1,1)</f>
        <v>0</v>
      </c>
      <c r="AO909" s="487" t="e">
        <f>+VLOOKUP($AJ909,Data_Validation!$A:$D,1,0)</f>
        <v>#N/A</v>
      </c>
      <c r="AP909" s="487" t="e">
        <f>+VLOOKUP($AJ909,Data_Validation!$A:$D,3,0)</f>
        <v>#N/A</v>
      </c>
      <c r="AQ909" s="487" t="e">
        <f>+VLOOKUP($AJ909,Data_Validation!$A:$D,4,0)</f>
        <v>#N/A</v>
      </c>
      <c r="AR909" s="487" t="s">
        <v>299</v>
      </c>
      <c r="AS909" s="487" t="e">
        <f>+VLOOKUP($AJ909,Data_Validation!$A:$E,5,0)</f>
        <v>#N/A</v>
      </c>
      <c r="AT909" s="904">
        <f t="shared" si="92"/>
        <v>0</v>
      </c>
      <c r="AU909" s="488">
        <f t="shared" si="93"/>
        <v>0</v>
      </c>
      <c r="AV909" s="899">
        <f>IFERROR(INDEX(V909:AG909,1,MATCH(Parametres!$B$3,V$1:AG$1,0)-1)*IF(OR(C909="L",C909="S",C909="I"),-1,1),"")</f>
        <v>0</v>
      </c>
      <c r="AW909" s="899">
        <f t="shared" si="94"/>
        <v>0</v>
      </c>
      <c r="AX909" s="899">
        <f>INDEX(V909:AG909,1,MATCH(Parametres!$B$3,V$1:AG$1,0))*IF(OR(C909="L",C909="S",C909="I"),-1,1)</f>
        <v>0</v>
      </c>
      <c r="AY909" s="487" t="s">
        <v>337</v>
      </c>
      <c r="AZ909" s="487" t="e">
        <f>+VLOOKUP($AJ909,Data_Validation!$A:$E,5,0)</f>
        <v>#N/A</v>
      </c>
    </row>
    <row r="910" spans="1:52" ht="15" hidden="1" customHeight="1">
      <c r="AJ910" s="905">
        <f t="shared" si="89"/>
        <v>0</v>
      </c>
      <c r="AK910" s="905">
        <f t="shared" si="90"/>
        <v>0</v>
      </c>
      <c r="AL910" s="905">
        <f>IFERROR(INDEX(G910:R910,1,MATCH(Parametres!$B$3,G$1:R$1,0)-1)*IF(OR(F910="L",F910="S",F910="I"),-1,1),"")</f>
        <v>0</v>
      </c>
      <c r="AM910" s="905">
        <f t="shared" si="91"/>
        <v>0</v>
      </c>
      <c r="AN910" s="905">
        <f>INDEX(G910:R910,1,MATCH(Parametres!$B$3,G$1:R$1,0))*IF(OR(F910="L",F910="S",F910="I"),-1,1)</f>
        <v>0</v>
      </c>
      <c r="AO910" s="487" t="e">
        <f>+VLOOKUP($AJ910,Data_Validation!$A:$D,1,0)</f>
        <v>#N/A</v>
      </c>
      <c r="AP910" s="487" t="e">
        <f>+VLOOKUP($AJ910,Data_Validation!$A:$D,3,0)</f>
        <v>#N/A</v>
      </c>
      <c r="AQ910" s="487" t="e">
        <f>+VLOOKUP($AJ910,Data_Validation!$A:$D,4,0)</f>
        <v>#N/A</v>
      </c>
      <c r="AR910" s="487" t="s">
        <v>299</v>
      </c>
      <c r="AS910" s="487" t="e">
        <f>+VLOOKUP($AJ910,Data_Validation!$A:$E,5,0)</f>
        <v>#N/A</v>
      </c>
      <c r="AT910" s="904">
        <f t="shared" si="92"/>
        <v>0</v>
      </c>
      <c r="AU910" s="488">
        <f t="shared" si="93"/>
        <v>0</v>
      </c>
      <c r="AV910" s="899">
        <f>IFERROR(INDEX(V910:AG910,1,MATCH(Parametres!$B$3,V$1:AG$1,0)-1)*IF(OR(C910="L",C910="S",C910="I"),-1,1),"")</f>
        <v>0</v>
      </c>
      <c r="AW910" s="899">
        <f t="shared" si="94"/>
        <v>0</v>
      </c>
      <c r="AX910" s="899">
        <f>INDEX(V910:AG910,1,MATCH(Parametres!$B$3,V$1:AG$1,0))*IF(OR(C910="L",C910="S",C910="I"),-1,1)</f>
        <v>0</v>
      </c>
      <c r="AY910" s="487" t="s">
        <v>337</v>
      </c>
      <c r="AZ910" s="487" t="e">
        <f>+VLOOKUP($AJ910,Data_Validation!$A:$E,5,0)</f>
        <v>#N/A</v>
      </c>
    </row>
    <row r="911" spans="1:52" ht="15" hidden="1" customHeight="1">
      <c r="AJ911" s="905">
        <f t="shared" si="89"/>
        <v>0</v>
      </c>
      <c r="AK911" s="905">
        <f t="shared" si="90"/>
        <v>0</v>
      </c>
      <c r="AL911" s="905">
        <f>IFERROR(INDEX(G911:R911,1,MATCH(Parametres!$B$3,G$1:R$1,0)-1)*IF(OR(F911="L",F911="S",F911="I"),-1,1),"")</f>
        <v>0</v>
      </c>
      <c r="AM911" s="905">
        <f t="shared" si="91"/>
        <v>0</v>
      </c>
      <c r="AN911" s="905">
        <f>INDEX(G911:R911,1,MATCH(Parametres!$B$3,G$1:R$1,0))*IF(OR(F911="L",F911="S",F911="I"),-1,1)</f>
        <v>0</v>
      </c>
      <c r="AO911" s="487" t="e">
        <f>+VLOOKUP($AJ911,Data_Validation!$A:$D,1,0)</f>
        <v>#N/A</v>
      </c>
      <c r="AP911" s="487" t="e">
        <f>+VLOOKUP($AJ911,Data_Validation!$A:$D,3,0)</f>
        <v>#N/A</v>
      </c>
      <c r="AQ911" s="487" t="e">
        <f>+VLOOKUP($AJ911,Data_Validation!$A:$D,4,0)</f>
        <v>#N/A</v>
      </c>
      <c r="AR911" s="487" t="s">
        <v>299</v>
      </c>
      <c r="AS911" s="487" t="e">
        <f>+VLOOKUP($AJ911,Data_Validation!$A:$E,5,0)</f>
        <v>#N/A</v>
      </c>
      <c r="AT911" s="904">
        <f t="shared" si="92"/>
        <v>0</v>
      </c>
      <c r="AU911" s="488">
        <f t="shared" si="93"/>
        <v>0</v>
      </c>
      <c r="AV911" s="899">
        <f>IFERROR(INDEX(V911:AG911,1,MATCH(Parametres!$B$3,V$1:AG$1,0)-1)*IF(OR(C911="L",C911="S",C911="I"),-1,1),"")</f>
        <v>0</v>
      </c>
      <c r="AW911" s="899">
        <f t="shared" si="94"/>
        <v>0</v>
      </c>
      <c r="AX911" s="899">
        <f>INDEX(V911:AG911,1,MATCH(Parametres!$B$3,V$1:AG$1,0))*IF(OR(C911="L",C911="S",C911="I"),-1,1)</f>
        <v>0</v>
      </c>
      <c r="AY911" s="487" t="s">
        <v>337</v>
      </c>
      <c r="AZ911" s="487" t="e">
        <f>+VLOOKUP($AJ911,Data_Validation!$A:$E,5,0)</f>
        <v>#N/A</v>
      </c>
    </row>
    <row r="912" spans="1:52" ht="15" hidden="1" customHeight="1">
      <c r="AJ912" s="905">
        <f t="shared" si="89"/>
        <v>0</v>
      </c>
      <c r="AK912" s="905">
        <f t="shared" si="90"/>
        <v>0</v>
      </c>
      <c r="AL912" s="905">
        <f>IFERROR(INDEX(G912:R912,1,MATCH(Parametres!$B$3,G$1:R$1,0)-1)*IF(OR(F912="L",F912="S",F912="I"),-1,1),"")</f>
        <v>0</v>
      </c>
      <c r="AM912" s="905">
        <f t="shared" si="91"/>
        <v>0</v>
      </c>
      <c r="AN912" s="905">
        <f>INDEX(G912:R912,1,MATCH(Parametres!$B$3,G$1:R$1,0))*IF(OR(F912="L",F912="S",F912="I"),-1,1)</f>
        <v>0</v>
      </c>
      <c r="AO912" s="487" t="e">
        <f>+VLOOKUP($AJ912,Data_Validation!$A:$D,1,0)</f>
        <v>#N/A</v>
      </c>
      <c r="AP912" s="487" t="e">
        <f>+VLOOKUP($AJ912,Data_Validation!$A:$D,3,0)</f>
        <v>#N/A</v>
      </c>
      <c r="AQ912" s="487" t="e">
        <f>+VLOOKUP($AJ912,Data_Validation!$A:$D,4,0)</f>
        <v>#N/A</v>
      </c>
      <c r="AR912" s="487" t="s">
        <v>299</v>
      </c>
      <c r="AS912" s="487" t="e">
        <f>+VLOOKUP($AJ912,Data_Validation!$A:$E,5,0)</f>
        <v>#N/A</v>
      </c>
      <c r="AT912" s="904">
        <f t="shared" si="92"/>
        <v>0</v>
      </c>
      <c r="AU912" s="488">
        <f t="shared" si="93"/>
        <v>0</v>
      </c>
      <c r="AV912" s="899">
        <f>IFERROR(INDEX(V912:AG912,1,MATCH(Parametres!$B$3,V$1:AG$1,0)-1)*IF(OR(C912="L",C912="S",C912="I"),-1,1),"")</f>
        <v>0</v>
      </c>
      <c r="AW912" s="899">
        <f t="shared" si="94"/>
        <v>0</v>
      </c>
      <c r="AX912" s="899">
        <f>INDEX(V912:AG912,1,MATCH(Parametres!$B$3,V$1:AG$1,0))*IF(OR(C912="L",C912="S",C912="I"),-1,1)</f>
        <v>0</v>
      </c>
      <c r="AY912" s="487" t="s">
        <v>337</v>
      </c>
      <c r="AZ912" s="487" t="e">
        <f>+VLOOKUP($AJ912,Data_Validation!$A:$E,5,0)</f>
        <v>#N/A</v>
      </c>
    </row>
    <row r="913" spans="36:52" ht="15" hidden="1" customHeight="1">
      <c r="AJ913" s="905">
        <f t="shared" si="89"/>
        <v>0</v>
      </c>
      <c r="AK913" s="905">
        <f t="shared" si="90"/>
        <v>0</v>
      </c>
      <c r="AL913" s="905">
        <f>IFERROR(INDEX(G913:R913,1,MATCH(Parametres!$B$3,G$1:R$1,0)-1)*IF(OR(F913="L",F913="S",F913="I"),-1,1),"")</f>
        <v>0</v>
      </c>
      <c r="AM913" s="905">
        <f t="shared" si="91"/>
        <v>0</v>
      </c>
      <c r="AN913" s="905">
        <f>INDEX(G913:R913,1,MATCH(Parametres!$B$3,G$1:R$1,0))*IF(OR(F913="L",F913="S",F913="I"),-1,1)</f>
        <v>0</v>
      </c>
      <c r="AO913" s="487" t="e">
        <f>+VLOOKUP($AJ913,Data_Validation!$A:$D,1,0)</f>
        <v>#N/A</v>
      </c>
      <c r="AP913" s="487" t="e">
        <f>+VLOOKUP($AJ913,Data_Validation!$A:$D,3,0)</f>
        <v>#N/A</v>
      </c>
      <c r="AQ913" s="487" t="e">
        <f>+VLOOKUP($AJ913,Data_Validation!$A:$D,4,0)</f>
        <v>#N/A</v>
      </c>
      <c r="AR913" s="487" t="s">
        <v>299</v>
      </c>
      <c r="AS913" s="487" t="e">
        <f>+VLOOKUP($AJ913,Data_Validation!$A:$E,5,0)</f>
        <v>#N/A</v>
      </c>
      <c r="AT913" s="904">
        <f t="shared" si="92"/>
        <v>0</v>
      </c>
      <c r="AU913" s="488">
        <f t="shared" si="93"/>
        <v>0</v>
      </c>
      <c r="AV913" s="899">
        <f>IFERROR(INDEX(V913:AG913,1,MATCH(Parametres!$B$3,V$1:AG$1,0)-1)*IF(OR(C913="L",C913="S",C913="I"),-1,1),"")</f>
        <v>0</v>
      </c>
      <c r="AW913" s="899">
        <f t="shared" si="94"/>
        <v>0</v>
      </c>
      <c r="AX913" s="899">
        <f>INDEX(V913:AG913,1,MATCH(Parametres!$B$3,V$1:AG$1,0))*IF(OR(C913="L",C913="S",C913="I"),-1,1)</f>
        <v>0</v>
      </c>
      <c r="AY913" s="487" t="s">
        <v>337</v>
      </c>
      <c r="AZ913" s="487" t="e">
        <f>+VLOOKUP($AJ913,Data_Validation!$A:$E,5,0)</f>
        <v>#N/A</v>
      </c>
    </row>
    <row r="914" spans="36:52" ht="15" hidden="1" customHeight="1">
      <c r="AJ914" s="905">
        <f t="shared" si="89"/>
        <v>0</v>
      </c>
      <c r="AK914" s="905">
        <f t="shared" si="90"/>
        <v>0</v>
      </c>
      <c r="AL914" s="905">
        <f>IFERROR(INDEX(G914:R914,1,MATCH(Parametres!$B$3,G$1:R$1,0)-1)*IF(OR(F914="L",F914="S",F914="I"),-1,1),"")</f>
        <v>0</v>
      </c>
      <c r="AM914" s="905">
        <f t="shared" si="91"/>
        <v>0</v>
      </c>
      <c r="AN914" s="905">
        <f>INDEX(G914:R914,1,MATCH(Parametres!$B$3,G$1:R$1,0))*IF(OR(F914="L",F914="S",F914="I"),-1,1)</f>
        <v>0</v>
      </c>
      <c r="AO914" s="487" t="e">
        <f>+VLOOKUP($AJ914,Data_Validation!$A:$D,1,0)</f>
        <v>#N/A</v>
      </c>
      <c r="AP914" s="487" t="e">
        <f>+VLOOKUP($AJ914,Data_Validation!$A:$D,3,0)</f>
        <v>#N/A</v>
      </c>
      <c r="AQ914" s="487" t="e">
        <f>+VLOOKUP($AJ914,Data_Validation!$A:$D,4,0)</f>
        <v>#N/A</v>
      </c>
      <c r="AR914" s="487" t="s">
        <v>299</v>
      </c>
      <c r="AS914" s="487" t="e">
        <f>+VLOOKUP($AJ914,Data_Validation!$A:$E,5,0)</f>
        <v>#N/A</v>
      </c>
      <c r="AT914" s="904">
        <f t="shared" si="92"/>
        <v>0</v>
      </c>
      <c r="AU914" s="488">
        <f t="shared" si="93"/>
        <v>0</v>
      </c>
      <c r="AV914" s="899">
        <f>IFERROR(INDEX(V914:AG914,1,MATCH(Parametres!$B$3,V$1:AG$1,0)-1)*IF(OR(C914="L",C914="S",C914="I"),-1,1),"")</f>
        <v>0</v>
      </c>
      <c r="AW914" s="899">
        <f t="shared" si="94"/>
        <v>0</v>
      </c>
      <c r="AX914" s="899">
        <f>INDEX(V914:AG914,1,MATCH(Parametres!$B$3,V$1:AG$1,0))*IF(OR(C914="L",C914="S",C914="I"),-1,1)</f>
        <v>0</v>
      </c>
      <c r="AY914" s="487" t="s">
        <v>337</v>
      </c>
      <c r="AZ914" s="487" t="e">
        <f>+VLOOKUP($AJ914,Data_Validation!$A:$E,5,0)</f>
        <v>#N/A</v>
      </c>
    </row>
    <row r="915" spans="36:52" ht="15" hidden="1" customHeight="1">
      <c r="AJ915" s="905">
        <f t="shared" si="89"/>
        <v>0</v>
      </c>
      <c r="AK915" s="905">
        <f t="shared" si="90"/>
        <v>0</v>
      </c>
      <c r="AL915" s="905">
        <f>IFERROR(INDEX(G915:R915,1,MATCH(Parametres!$B$3,G$1:R$1,0)-1)*IF(OR(F915="L",F915="S",F915="I"),-1,1),"")</f>
        <v>0</v>
      </c>
      <c r="AM915" s="905">
        <f t="shared" si="91"/>
        <v>0</v>
      </c>
      <c r="AN915" s="905">
        <f>INDEX(G915:R915,1,MATCH(Parametres!$B$3,G$1:R$1,0))*IF(OR(F915="L",F915="S",F915="I"),-1,1)</f>
        <v>0</v>
      </c>
      <c r="AO915" s="487" t="e">
        <f>+VLOOKUP($AJ915,Data_Validation!$A:$D,1,0)</f>
        <v>#N/A</v>
      </c>
      <c r="AP915" s="487" t="e">
        <f>+VLOOKUP($AJ915,Data_Validation!$A:$D,3,0)</f>
        <v>#N/A</v>
      </c>
      <c r="AQ915" s="487" t="e">
        <f>+VLOOKUP($AJ915,Data_Validation!$A:$D,4,0)</f>
        <v>#N/A</v>
      </c>
      <c r="AR915" s="487" t="s">
        <v>299</v>
      </c>
      <c r="AS915" s="487" t="e">
        <f>+VLOOKUP($AJ915,Data_Validation!$A:$E,5,0)</f>
        <v>#N/A</v>
      </c>
      <c r="AT915" s="904">
        <f t="shared" si="92"/>
        <v>0</v>
      </c>
      <c r="AU915" s="488">
        <f t="shared" si="93"/>
        <v>0</v>
      </c>
      <c r="AV915" s="899">
        <f>IFERROR(INDEX(V915:AG915,1,MATCH(Parametres!$B$3,V$1:AG$1,0)-1)*IF(OR(C915="L",C915="S",C915="I"),-1,1),"")</f>
        <v>0</v>
      </c>
      <c r="AW915" s="899">
        <f t="shared" si="94"/>
        <v>0</v>
      </c>
      <c r="AX915" s="899">
        <f>INDEX(V915:AG915,1,MATCH(Parametres!$B$3,V$1:AG$1,0))*IF(OR(C915="L",C915="S",C915="I"),-1,1)</f>
        <v>0</v>
      </c>
      <c r="AY915" s="487" t="s">
        <v>337</v>
      </c>
      <c r="AZ915" s="487" t="e">
        <f>+VLOOKUP($AJ915,Data_Validation!$A:$E,5,0)</f>
        <v>#N/A</v>
      </c>
    </row>
    <row r="916" spans="36:52" ht="15" hidden="1" customHeight="1">
      <c r="AJ916" s="905">
        <f t="shared" si="89"/>
        <v>0</v>
      </c>
      <c r="AK916" s="905">
        <f t="shared" si="90"/>
        <v>0</v>
      </c>
      <c r="AL916" s="905">
        <f>IFERROR(INDEX(G916:R916,1,MATCH(Parametres!$B$3,G$1:R$1,0)-1)*IF(OR(F916="L",F916="S",F916="I"),-1,1),"")</f>
        <v>0</v>
      </c>
      <c r="AM916" s="905">
        <f t="shared" si="91"/>
        <v>0</v>
      </c>
      <c r="AN916" s="905">
        <f>INDEX(G916:R916,1,MATCH(Parametres!$B$3,G$1:R$1,0))*IF(OR(F916="L",F916="S",F916="I"),-1,1)</f>
        <v>0</v>
      </c>
      <c r="AO916" s="487" t="e">
        <f>+VLOOKUP($AJ916,Data_Validation!$A:$D,1,0)</f>
        <v>#N/A</v>
      </c>
      <c r="AP916" s="487" t="e">
        <f>+VLOOKUP($AJ916,Data_Validation!$A:$D,3,0)</f>
        <v>#N/A</v>
      </c>
      <c r="AQ916" s="487" t="e">
        <f>+VLOOKUP($AJ916,Data_Validation!$A:$D,4,0)</f>
        <v>#N/A</v>
      </c>
      <c r="AR916" s="487" t="s">
        <v>299</v>
      </c>
      <c r="AS916" s="487" t="e">
        <f>+VLOOKUP($AJ916,Data_Validation!$A:$E,5,0)</f>
        <v>#N/A</v>
      </c>
      <c r="AT916" s="904">
        <f t="shared" si="92"/>
        <v>0</v>
      </c>
      <c r="AU916" s="488">
        <f t="shared" si="93"/>
        <v>0</v>
      </c>
      <c r="AV916" s="899">
        <f>IFERROR(INDEX(V916:AG916,1,MATCH(Parametres!$B$3,V$1:AG$1,0)-1)*IF(OR(C916="L",C916="S",C916="I"),-1,1),"")</f>
        <v>0</v>
      </c>
      <c r="AW916" s="899">
        <f t="shared" si="94"/>
        <v>0</v>
      </c>
      <c r="AX916" s="899">
        <f>INDEX(V916:AG916,1,MATCH(Parametres!$B$3,V$1:AG$1,0))*IF(OR(C916="L",C916="S",C916="I"),-1,1)</f>
        <v>0</v>
      </c>
      <c r="AY916" s="487" t="s">
        <v>337</v>
      </c>
      <c r="AZ916" s="487" t="e">
        <f>+VLOOKUP($AJ916,Data_Validation!$A:$E,5,0)</f>
        <v>#N/A</v>
      </c>
    </row>
    <row r="917" spans="36:52" ht="15" hidden="1" customHeight="1">
      <c r="AJ917" s="905">
        <f t="shared" si="89"/>
        <v>0</v>
      </c>
      <c r="AK917" s="905">
        <f t="shared" si="90"/>
        <v>0</v>
      </c>
      <c r="AL917" s="905">
        <f>IFERROR(INDEX(G917:R917,1,MATCH(Parametres!$B$3,G$1:R$1,0)-1)*IF(OR(F917="L",F917="S",F917="I"),-1,1),"")</f>
        <v>0</v>
      </c>
      <c r="AM917" s="905">
        <f t="shared" si="91"/>
        <v>0</v>
      </c>
      <c r="AN917" s="905">
        <f>INDEX(G917:R917,1,MATCH(Parametres!$B$3,G$1:R$1,0))*IF(OR(F917="L",F917="S",F917="I"),-1,1)</f>
        <v>0</v>
      </c>
      <c r="AO917" s="487" t="e">
        <f>+VLOOKUP($AJ917,Data_Validation!$A:$D,1,0)</f>
        <v>#N/A</v>
      </c>
      <c r="AP917" s="487" t="e">
        <f>+VLOOKUP($AJ917,Data_Validation!$A:$D,3,0)</f>
        <v>#N/A</v>
      </c>
      <c r="AQ917" s="487" t="e">
        <f>+VLOOKUP($AJ917,Data_Validation!$A:$D,4,0)</f>
        <v>#N/A</v>
      </c>
      <c r="AR917" s="487" t="s">
        <v>299</v>
      </c>
      <c r="AS917" s="487" t="e">
        <f>+VLOOKUP($AJ917,Data_Validation!$A:$E,5,0)</f>
        <v>#N/A</v>
      </c>
      <c r="AT917" s="904">
        <f t="shared" si="92"/>
        <v>0</v>
      </c>
      <c r="AU917" s="488">
        <f t="shared" si="93"/>
        <v>0</v>
      </c>
      <c r="AV917" s="899">
        <f>IFERROR(INDEX(V917:AG917,1,MATCH(Parametres!$B$3,V$1:AG$1,0)-1)*IF(OR(C917="L",C917="S",C917="I"),-1,1),"")</f>
        <v>0</v>
      </c>
      <c r="AW917" s="899">
        <f t="shared" si="94"/>
        <v>0</v>
      </c>
      <c r="AX917" s="899">
        <f>INDEX(V917:AG917,1,MATCH(Parametres!$B$3,V$1:AG$1,0))*IF(OR(C917="L",C917="S",C917="I"),-1,1)</f>
        <v>0</v>
      </c>
      <c r="AY917" s="487" t="s">
        <v>337</v>
      </c>
      <c r="AZ917" s="487" t="e">
        <f>+VLOOKUP($AJ917,Data_Validation!$A:$E,5,0)</f>
        <v>#N/A</v>
      </c>
    </row>
    <row r="918" spans="36:52" ht="15" hidden="1" customHeight="1">
      <c r="AJ918" s="905">
        <f t="shared" si="89"/>
        <v>0</v>
      </c>
      <c r="AK918" s="905">
        <f t="shared" si="90"/>
        <v>0</v>
      </c>
      <c r="AL918" s="905">
        <f>IFERROR(INDEX(G918:R918,1,MATCH(Parametres!$B$3,G$1:R$1,0)-1)*IF(OR(F918="L",F918="S",F918="I"),-1,1),"")</f>
        <v>0</v>
      </c>
      <c r="AM918" s="905">
        <f t="shared" si="91"/>
        <v>0</v>
      </c>
      <c r="AN918" s="905">
        <f>INDEX(G918:R918,1,MATCH(Parametres!$B$3,G$1:R$1,0))*IF(OR(F918="L",F918="S",F918="I"),-1,1)</f>
        <v>0</v>
      </c>
      <c r="AO918" s="487" t="e">
        <f>+VLOOKUP($AJ918,Data_Validation!$A:$D,1,0)</f>
        <v>#N/A</v>
      </c>
      <c r="AP918" s="487" t="e">
        <f>+VLOOKUP($AJ918,Data_Validation!$A:$D,3,0)</f>
        <v>#N/A</v>
      </c>
      <c r="AQ918" s="487" t="e">
        <f>+VLOOKUP($AJ918,Data_Validation!$A:$D,4,0)</f>
        <v>#N/A</v>
      </c>
      <c r="AR918" s="487" t="s">
        <v>299</v>
      </c>
      <c r="AS918" s="487" t="e">
        <f>+VLOOKUP($AJ918,Data_Validation!$A:$E,5,0)</f>
        <v>#N/A</v>
      </c>
      <c r="AT918" s="904">
        <f t="shared" si="92"/>
        <v>0</v>
      </c>
      <c r="AU918" s="488">
        <f t="shared" si="93"/>
        <v>0</v>
      </c>
      <c r="AV918" s="899">
        <f>IFERROR(INDEX(V918:AG918,1,MATCH(Parametres!$B$3,V$1:AG$1,0)-1)*IF(OR(C918="L",C918="S",C918="I"),-1,1),"")</f>
        <v>0</v>
      </c>
      <c r="AW918" s="899">
        <f t="shared" si="94"/>
        <v>0</v>
      </c>
      <c r="AX918" s="899">
        <f>INDEX(V918:AG918,1,MATCH(Parametres!$B$3,V$1:AG$1,0))*IF(OR(C918="L",C918="S",C918="I"),-1,1)</f>
        <v>0</v>
      </c>
      <c r="AY918" s="487" t="s">
        <v>337</v>
      </c>
      <c r="AZ918" s="487" t="e">
        <f>+VLOOKUP($AJ918,Data_Validation!$A:$E,5,0)</f>
        <v>#N/A</v>
      </c>
    </row>
    <row r="919" spans="36:52" ht="15" hidden="1" customHeight="1">
      <c r="AJ919" s="905">
        <f t="shared" si="89"/>
        <v>0</v>
      </c>
      <c r="AK919" s="905">
        <f t="shared" si="90"/>
        <v>0</v>
      </c>
      <c r="AL919" s="905">
        <f>IFERROR(INDEX(G919:R919,1,MATCH(Parametres!$B$3,G$1:R$1,0)-1)*IF(OR(F919="L",F919="S",F919="I"),-1,1),"")</f>
        <v>0</v>
      </c>
      <c r="AM919" s="905">
        <f t="shared" si="91"/>
        <v>0</v>
      </c>
      <c r="AN919" s="905">
        <f>INDEX(G919:R919,1,MATCH(Parametres!$B$3,G$1:R$1,0))*IF(OR(F919="L",F919="S",F919="I"),-1,1)</f>
        <v>0</v>
      </c>
      <c r="AO919" s="487" t="e">
        <f>+VLOOKUP($AJ919,Data_Validation!$A:$D,1,0)</f>
        <v>#N/A</v>
      </c>
      <c r="AP919" s="487" t="e">
        <f>+VLOOKUP($AJ919,Data_Validation!$A:$D,3,0)</f>
        <v>#N/A</v>
      </c>
      <c r="AQ919" s="487" t="e">
        <f>+VLOOKUP($AJ919,Data_Validation!$A:$D,4,0)</f>
        <v>#N/A</v>
      </c>
      <c r="AR919" s="487" t="s">
        <v>299</v>
      </c>
      <c r="AS919" s="487" t="e">
        <f>+VLOOKUP($AJ919,Data_Validation!$A:$E,5,0)</f>
        <v>#N/A</v>
      </c>
      <c r="AT919" s="904">
        <f t="shared" si="92"/>
        <v>0</v>
      </c>
      <c r="AU919" s="488">
        <f t="shared" si="93"/>
        <v>0</v>
      </c>
      <c r="AV919" s="899">
        <f>IFERROR(INDEX(V919:AG919,1,MATCH(Parametres!$B$3,V$1:AG$1,0)-1)*IF(OR(C919="L",C919="S",C919="I"),-1,1),"")</f>
        <v>0</v>
      </c>
      <c r="AW919" s="899">
        <f t="shared" si="94"/>
        <v>0</v>
      </c>
      <c r="AX919" s="899">
        <f>INDEX(V919:AG919,1,MATCH(Parametres!$B$3,V$1:AG$1,0))*IF(OR(C919="L",C919="S",C919="I"),-1,1)</f>
        <v>0</v>
      </c>
      <c r="AY919" s="487" t="s">
        <v>337</v>
      </c>
      <c r="AZ919" s="487" t="e">
        <f>+VLOOKUP($AJ919,Data_Validation!$A:$E,5,0)</f>
        <v>#N/A</v>
      </c>
    </row>
    <row r="920" spans="36:52" ht="15" hidden="1" customHeight="1">
      <c r="AJ920" s="905">
        <f t="shared" si="89"/>
        <v>0</v>
      </c>
      <c r="AK920" s="905">
        <f t="shared" si="90"/>
        <v>0</v>
      </c>
      <c r="AL920" s="905">
        <f>IFERROR(INDEX(G920:R920,1,MATCH(Parametres!$B$3,G$1:R$1,0)-1)*IF(OR(F920="L",F920="S",F920="I"),-1,1),"")</f>
        <v>0</v>
      </c>
      <c r="AM920" s="905">
        <f t="shared" si="91"/>
        <v>0</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f t="shared" si="92"/>
        <v>0</v>
      </c>
      <c r="AU920" s="488">
        <f t="shared" si="93"/>
        <v>0</v>
      </c>
      <c r="AV920" s="899">
        <f>IFERROR(INDEX(V920:AG920,1,MATCH(Parametres!$B$3,V$1:AG$1,0)-1)*IF(OR(C920="L",C920="S",C920="I"),-1,1),"")</f>
        <v>0</v>
      </c>
      <c r="AW920" s="899">
        <f t="shared" si="94"/>
        <v>0</v>
      </c>
      <c r="AX920" s="899">
        <f>INDEX(V920:AG920,1,MATCH(Parametres!$B$3,V$1:AG$1,0))*IF(OR(C920="L",C920="S",C920="I"),-1,1)</f>
        <v>0</v>
      </c>
      <c r="AY920" s="487" t="s">
        <v>337</v>
      </c>
      <c r="AZ920" s="487" t="e">
        <f>+VLOOKUP($AJ920,Data_Validation!$A:$E,5,0)</f>
        <v>#N/A</v>
      </c>
    </row>
    <row r="921" spans="36:52" ht="15" hidden="1" customHeight="1">
      <c r="AJ921" s="905">
        <f t="shared" si="89"/>
        <v>0</v>
      </c>
      <c r="AK921" s="905">
        <f t="shared" si="90"/>
        <v>0</v>
      </c>
      <c r="AL921" s="905">
        <f>IFERROR(INDEX(G921:R921,1,MATCH(Parametres!$B$3,G$1:R$1,0)-1)*IF(OR(F921="L",F921="S",F921="I"),-1,1),"")</f>
        <v>0</v>
      </c>
      <c r="AM921" s="905">
        <f t="shared" si="91"/>
        <v>0</v>
      </c>
      <c r="AN921" s="905">
        <f>INDEX(G921:R921,1,MATCH(Parametres!$B$3,G$1:R$1,0))*IF(OR(F921="L",F921="S",F921="I"),-1,1)</f>
        <v>0</v>
      </c>
      <c r="AO921" s="487" t="e">
        <f>+VLOOKUP($AJ921,Data_Validation!$A:$D,1,0)</f>
        <v>#N/A</v>
      </c>
      <c r="AP921" s="487" t="e">
        <f>+VLOOKUP($AJ921,Data_Validation!$A:$D,3,0)</f>
        <v>#N/A</v>
      </c>
      <c r="AQ921" s="487" t="e">
        <f>+VLOOKUP($AJ921,Data_Validation!$A:$D,4,0)</f>
        <v>#N/A</v>
      </c>
      <c r="AR921" s="487" t="s">
        <v>299</v>
      </c>
      <c r="AS921" s="487" t="e">
        <f>+VLOOKUP($AJ921,Data_Validation!$A:$E,5,0)</f>
        <v>#N/A</v>
      </c>
      <c r="AT921" s="904">
        <f t="shared" si="92"/>
        <v>0</v>
      </c>
      <c r="AU921" s="488">
        <f t="shared" si="93"/>
        <v>0</v>
      </c>
      <c r="AV921" s="899">
        <f>IFERROR(INDEX(V921:AG921,1,MATCH(Parametres!$B$3,V$1:AG$1,0)-1)*IF(OR(C921="L",C921="S",C921="I"),-1,1),"")</f>
        <v>0</v>
      </c>
      <c r="AW921" s="899">
        <f t="shared" si="94"/>
        <v>0</v>
      </c>
      <c r="AX921" s="899">
        <f>INDEX(V921:AG921,1,MATCH(Parametres!$B$3,V$1:AG$1,0))*IF(OR(C921="L",C921="S",C921="I"),-1,1)</f>
        <v>0</v>
      </c>
      <c r="AY921" s="487" t="s">
        <v>337</v>
      </c>
      <c r="AZ921" s="487" t="e">
        <f>+VLOOKUP($AJ921,Data_Validation!$A:$E,5,0)</f>
        <v>#N/A</v>
      </c>
    </row>
    <row r="922" spans="36:52" ht="15" hidden="1" customHeight="1">
      <c r="AJ922" s="905">
        <f t="shared" si="89"/>
        <v>0</v>
      </c>
      <c r="AK922" s="905">
        <f t="shared" si="90"/>
        <v>0</v>
      </c>
      <c r="AL922" s="905">
        <f>IFERROR(INDEX(G922:R922,1,MATCH(Parametres!$B$3,G$1:R$1,0)-1)*IF(OR(F922="L",F922="S",F922="I"),-1,1),"")</f>
        <v>0</v>
      </c>
      <c r="AM922" s="905">
        <f t="shared" si="91"/>
        <v>0</v>
      </c>
      <c r="AN922" s="905">
        <f>INDEX(G922:R922,1,MATCH(Parametres!$B$3,G$1:R$1,0))*IF(OR(F922="L",F922="S",F922="I"),-1,1)</f>
        <v>0</v>
      </c>
      <c r="AO922" s="487" t="e">
        <f>+VLOOKUP($AJ922,Data_Validation!$A:$D,1,0)</f>
        <v>#N/A</v>
      </c>
      <c r="AP922" s="487" t="e">
        <f>+VLOOKUP($AJ922,Data_Validation!$A:$D,3,0)</f>
        <v>#N/A</v>
      </c>
      <c r="AQ922" s="487" t="e">
        <f>+VLOOKUP($AJ922,Data_Validation!$A:$D,4,0)</f>
        <v>#N/A</v>
      </c>
      <c r="AR922" s="487" t="s">
        <v>299</v>
      </c>
      <c r="AS922" s="487" t="e">
        <f>+VLOOKUP($AJ922,Data_Validation!$A:$E,5,0)</f>
        <v>#N/A</v>
      </c>
      <c r="AT922" s="904">
        <f t="shared" si="92"/>
        <v>0</v>
      </c>
      <c r="AU922" s="488">
        <f t="shared" si="93"/>
        <v>0</v>
      </c>
      <c r="AV922" s="899">
        <f>IFERROR(INDEX(V922:AG922,1,MATCH(Parametres!$B$3,V$1:AG$1,0)-1)*IF(OR(C922="L",C922="S",C922="I"),-1,1),"")</f>
        <v>0</v>
      </c>
      <c r="AW922" s="899">
        <f t="shared" si="94"/>
        <v>0</v>
      </c>
      <c r="AX922" s="899">
        <f>INDEX(V922:AG922,1,MATCH(Parametres!$B$3,V$1:AG$1,0))*IF(OR(C922="L",C922="S",C922="I"),-1,1)</f>
        <v>0</v>
      </c>
      <c r="AY922" s="487" t="s">
        <v>337</v>
      </c>
      <c r="AZ922" s="487" t="e">
        <f>+VLOOKUP($AJ922,Data_Validation!$A:$E,5,0)</f>
        <v>#N/A</v>
      </c>
    </row>
    <row r="923" spans="36:52" ht="15" hidden="1" customHeight="1">
      <c r="AJ923" s="905">
        <f t="shared" ref="AJ923:AJ986" si="95">C923</f>
        <v>0</v>
      </c>
      <c r="AK923" s="905">
        <f t="shared" ref="AK923:AK986" si="96">D923</f>
        <v>0</v>
      </c>
      <c r="AL923" s="905">
        <f>IFERROR(INDEX(G923:R923,1,MATCH(Parametres!$B$3,G$1:R$1,0)-1)*IF(OR(F923="L",F923="S",F923="I"),-1,1),"")</f>
        <v>0</v>
      </c>
      <c r="AM923" s="905">
        <f t="shared" ref="AM923:AM986" si="97">AN923-AL923</f>
        <v>0</v>
      </c>
      <c r="AN923" s="905">
        <f>INDEX(G923:R923,1,MATCH(Parametres!$B$3,G$1:R$1,0))*IF(OR(F923="L",F923="S",F923="I"),-1,1)</f>
        <v>0</v>
      </c>
      <c r="AO923" s="487" t="e">
        <f>+VLOOKUP($AJ923,Data_Validation!$A:$D,1,0)</f>
        <v>#N/A</v>
      </c>
      <c r="AP923" s="487" t="e">
        <f>+VLOOKUP($AJ923,Data_Validation!$A:$D,3,0)</f>
        <v>#N/A</v>
      </c>
      <c r="AQ923" s="487" t="e">
        <f>+VLOOKUP($AJ923,Data_Validation!$A:$D,4,0)</f>
        <v>#N/A</v>
      </c>
      <c r="AR923" s="487" t="s">
        <v>299</v>
      </c>
      <c r="AS923" s="487" t="e">
        <f>+VLOOKUP($AJ923,Data_Validation!$A:$E,5,0)</f>
        <v>#N/A</v>
      </c>
      <c r="AT923" s="904">
        <f t="shared" ref="AT923:AT986" si="98">C923</f>
        <v>0</v>
      </c>
      <c r="AU923" s="488">
        <f t="shared" ref="AU923:AU986" si="99">D923</f>
        <v>0</v>
      </c>
      <c r="AV923" s="899">
        <f>IFERROR(INDEX(V923:AG923,1,MATCH(Parametres!$B$3,V$1:AG$1,0)-1)*IF(OR(C923="L",C923="S",C923="I"),-1,1),"")</f>
        <v>0</v>
      </c>
      <c r="AW923" s="899">
        <f t="shared" ref="AW923:AW986" si="100">AX923-AV923</f>
        <v>0</v>
      </c>
      <c r="AX923" s="899">
        <f>INDEX(V923:AG923,1,MATCH(Parametres!$B$3,V$1:AG$1,0))*IF(OR(C923="L",C923="S",C923="I"),-1,1)</f>
        <v>0</v>
      </c>
      <c r="AY923" s="487" t="s">
        <v>337</v>
      </c>
      <c r="AZ923" s="487" t="e">
        <f>+VLOOKUP($AJ923,Data_Validation!$A:$E,5,0)</f>
        <v>#N/A</v>
      </c>
    </row>
    <row r="924" spans="36:52" ht="15" hidden="1" customHeight="1">
      <c r="AJ924" s="905">
        <f t="shared" si="95"/>
        <v>0</v>
      </c>
      <c r="AK924" s="905">
        <f t="shared" si="96"/>
        <v>0</v>
      </c>
      <c r="AL924" s="905">
        <f>IFERROR(INDEX(G924:R924,1,MATCH(Parametres!$B$3,G$1:R$1,0)-1)*IF(OR(F924="L",F924="S",F924="I"),-1,1),"")</f>
        <v>0</v>
      </c>
      <c r="AM924" s="905">
        <f t="shared" si="97"/>
        <v>0</v>
      </c>
      <c r="AN924" s="905">
        <f>INDEX(G924:R924,1,MATCH(Parametres!$B$3,G$1:R$1,0))*IF(OR(F924="L",F924="S",F924="I"),-1,1)</f>
        <v>0</v>
      </c>
      <c r="AO924" s="487" t="e">
        <f>+VLOOKUP($AJ924,Data_Validation!$A:$D,1,0)</f>
        <v>#N/A</v>
      </c>
      <c r="AP924" s="487" t="e">
        <f>+VLOOKUP($AJ924,Data_Validation!$A:$D,3,0)</f>
        <v>#N/A</v>
      </c>
      <c r="AQ924" s="487" t="e">
        <f>+VLOOKUP($AJ924,Data_Validation!$A:$D,4,0)</f>
        <v>#N/A</v>
      </c>
      <c r="AR924" s="487" t="s">
        <v>299</v>
      </c>
      <c r="AS924" s="487" t="e">
        <f>+VLOOKUP($AJ924,Data_Validation!$A:$E,5,0)</f>
        <v>#N/A</v>
      </c>
      <c r="AT924" s="904">
        <f t="shared" si="98"/>
        <v>0</v>
      </c>
      <c r="AU924" s="488">
        <f t="shared" si="99"/>
        <v>0</v>
      </c>
      <c r="AV924" s="899">
        <f>IFERROR(INDEX(V924:AG924,1,MATCH(Parametres!$B$3,V$1:AG$1,0)-1)*IF(OR(C924="L",C924="S",C924="I"),-1,1),"")</f>
        <v>0</v>
      </c>
      <c r="AW924" s="899">
        <f t="shared" si="100"/>
        <v>0</v>
      </c>
      <c r="AX924" s="899">
        <f>INDEX(V924:AG924,1,MATCH(Parametres!$B$3,V$1:AG$1,0))*IF(OR(C924="L",C924="S",C924="I"),-1,1)</f>
        <v>0</v>
      </c>
      <c r="AY924" s="487" t="s">
        <v>337</v>
      </c>
      <c r="AZ924" s="487" t="e">
        <f>+VLOOKUP($AJ924,Data_Validation!$A:$E,5,0)</f>
        <v>#N/A</v>
      </c>
    </row>
    <row r="925" spans="36:52" ht="15" hidden="1" customHeight="1">
      <c r="AJ925" s="905">
        <f t="shared" si="95"/>
        <v>0</v>
      </c>
      <c r="AK925" s="905">
        <f t="shared" si="96"/>
        <v>0</v>
      </c>
      <c r="AL925" s="905">
        <f>IFERROR(INDEX(G925:R925,1,MATCH(Parametres!$B$3,G$1:R$1,0)-1)*IF(OR(F925="L",F925="S",F925="I"),-1,1),"")</f>
        <v>0</v>
      </c>
      <c r="AM925" s="905">
        <f t="shared" si="97"/>
        <v>0</v>
      </c>
      <c r="AN925" s="905">
        <f>INDEX(G925:R925,1,MATCH(Parametres!$B$3,G$1:R$1,0))*IF(OR(F925="L",F925="S",F925="I"),-1,1)</f>
        <v>0</v>
      </c>
      <c r="AO925" s="487" t="e">
        <f>+VLOOKUP($AJ925,Data_Validation!$A:$D,1,0)</f>
        <v>#N/A</v>
      </c>
      <c r="AP925" s="487" t="e">
        <f>+VLOOKUP($AJ925,Data_Validation!$A:$D,3,0)</f>
        <v>#N/A</v>
      </c>
      <c r="AQ925" s="487" t="e">
        <f>+VLOOKUP($AJ925,Data_Validation!$A:$D,4,0)</f>
        <v>#N/A</v>
      </c>
      <c r="AR925" s="487" t="s">
        <v>299</v>
      </c>
      <c r="AS925" s="487" t="e">
        <f>+VLOOKUP($AJ925,Data_Validation!$A:$E,5,0)</f>
        <v>#N/A</v>
      </c>
      <c r="AT925" s="904">
        <f t="shared" si="98"/>
        <v>0</v>
      </c>
      <c r="AU925" s="488">
        <f t="shared" si="99"/>
        <v>0</v>
      </c>
      <c r="AV925" s="899">
        <f>IFERROR(INDEX(V925:AG925,1,MATCH(Parametres!$B$3,V$1:AG$1,0)-1)*IF(OR(C925="L",C925="S",C925="I"),-1,1),"")</f>
        <v>0</v>
      </c>
      <c r="AW925" s="899">
        <f t="shared" si="100"/>
        <v>0</v>
      </c>
      <c r="AX925" s="899">
        <f>INDEX(V925:AG925,1,MATCH(Parametres!$B$3,V$1:AG$1,0))*IF(OR(C925="L",C925="S",C925="I"),-1,1)</f>
        <v>0</v>
      </c>
      <c r="AY925" s="487" t="s">
        <v>337</v>
      </c>
      <c r="AZ925" s="487" t="e">
        <f>+VLOOKUP($AJ925,Data_Validation!$A:$E,5,0)</f>
        <v>#N/A</v>
      </c>
    </row>
    <row r="926" spans="36:52" ht="15" hidden="1" customHeight="1">
      <c r="AJ926" s="905">
        <f t="shared" si="95"/>
        <v>0</v>
      </c>
      <c r="AK926" s="905">
        <f t="shared" si="96"/>
        <v>0</v>
      </c>
      <c r="AL926" s="905">
        <f>IFERROR(INDEX(G926:R926,1,MATCH(Parametres!$B$3,G$1:R$1,0)-1)*IF(OR(F926="L",F926="S",F926="I"),-1,1),"")</f>
        <v>0</v>
      </c>
      <c r="AM926" s="905">
        <f t="shared" si="97"/>
        <v>0</v>
      </c>
      <c r="AN926" s="905">
        <f>INDEX(G926:R926,1,MATCH(Parametres!$B$3,G$1:R$1,0))*IF(OR(F926="L",F926="S",F926="I"),-1,1)</f>
        <v>0</v>
      </c>
      <c r="AO926" s="487" t="e">
        <f>+VLOOKUP($AJ926,Data_Validation!$A:$D,1,0)</f>
        <v>#N/A</v>
      </c>
      <c r="AP926" s="487" t="e">
        <f>+VLOOKUP($AJ926,Data_Validation!$A:$D,3,0)</f>
        <v>#N/A</v>
      </c>
      <c r="AQ926" s="487" t="e">
        <f>+VLOOKUP($AJ926,Data_Validation!$A:$D,4,0)</f>
        <v>#N/A</v>
      </c>
      <c r="AR926" s="487" t="s">
        <v>299</v>
      </c>
      <c r="AS926" s="487" t="e">
        <f>+VLOOKUP($AJ926,Data_Validation!$A:$E,5,0)</f>
        <v>#N/A</v>
      </c>
      <c r="AT926" s="904">
        <f t="shared" si="98"/>
        <v>0</v>
      </c>
      <c r="AU926" s="488">
        <f t="shared" si="99"/>
        <v>0</v>
      </c>
      <c r="AV926" s="899">
        <f>IFERROR(INDEX(V926:AG926,1,MATCH(Parametres!$B$3,V$1:AG$1,0)-1)*IF(OR(C926="L",C926="S",C926="I"),-1,1),"")</f>
        <v>0</v>
      </c>
      <c r="AW926" s="899">
        <f t="shared" si="100"/>
        <v>0</v>
      </c>
      <c r="AX926" s="899">
        <f>INDEX(V926:AG926,1,MATCH(Parametres!$B$3,V$1:AG$1,0))*IF(OR(C926="L",C926="S",C926="I"),-1,1)</f>
        <v>0</v>
      </c>
      <c r="AY926" s="487" t="s">
        <v>337</v>
      </c>
      <c r="AZ926" s="487" t="e">
        <f>+VLOOKUP($AJ926,Data_Validation!$A:$E,5,0)</f>
        <v>#N/A</v>
      </c>
    </row>
    <row r="927" spans="36:52" ht="15" hidden="1" customHeight="1">
      <c r="AJ927" s="905">
        <f t="shared" si="95"/>
        <v>0</v>
      </c>
      <c r="AK927" s="905">
        <f t="shared" si="96"/>
        <v>0</v>
      </c>
      <c r="AL927" s="905">
        <f>IFERROR(INDEX(G927:R927,1,MATCH(Parametres!$B$3,G$1:R$1,0)-1)*IF(OR(F927="L",F927="S",F927="I"),-1,1),"")</f>
        <v>0</v>
      </c>
      <c r="AM927" s="905">
        <f t="shared" si="97"/>
        <v>0</v>
      </c>
      <c r="AN927" s="905">
        <f>INDEX(G927:R927,1,MATCH(Parametres!$B$3,G$1:R$1,0))*IF(OR(F927="L",F927="S",F927="I"),-1,1)</f>
        <v>0</v>
      </c>
      <c r="AO927" s="487" t="e">
        <f>+VLOOKUP($AJ927,Data_Validation!$A:$D,1,0)</f>
        <v>#N/A</v>
      </c>
      <c r="AP927" s="487" t="e">
        <f>+VLOOKUP($AJ927,Data_Validation!$A:$D,3,0)</f>
        <v>#N/A</v>
      </c>
      <c r="AQ927" s="487" t="e">
        <f>+VLOOKUP($AJ927,Data_Validation!$A:$D,4,0)</f>
        <v>#N/A</v>
      </c>
      <c r="AR927" s="487" t="s">
        <v>299</v>
      </c>
      <c r="AS927" s="487" t="e">
        <f>+VLOOKUP($AJ927,Data_Validation!$A:$E,5,0)</f>
        <v>#N/A</v>
      </c>
      <c r="AT927" s="904">
        <f t="shared" si="98"/>
        <v>0</v>
      </c>
      <c r="AU927" s="488">
        <f t="shared" si="99"/>
        <v>0</v>
      </c>
      <c r="AV927" s="899">
        <f>IFERROR(INDEX(V927:AG927,1,MATCH(Parametres!$B$3,V$1:AG$1,0)-1)*IF(OR(C927="L",C927="S",C927="I"),-1,1),"")</f>
        <v>0</v>
      </c>
      <c r="AW927" s="899">
        <f t="shared" si="100"/>
        <v>0</v>
      </c>
      <c r="AX927" s="899">
        <f>INDEX(V927:AG927,1,MATCH(Parametres!$B$3,V$1:AG$1,0))*IF(OR(C927="L",C927="S",C927="I"),-1,1)</f>
        <v>0</v>
      </c>
      <c r="AY927" s="487" t="s">
        <v>337</v>
      </c>
      <c r="AZ927" s="487" t="e">
        <f>+VLOOKUP($AJ927,Data_Validation!$A:$E,5,0)</f>
        <v>#N/A</v>
      </c>
    </row>
    <row r="928" spans="36:52" ht="15" hidden="1" customHeight="1">
      <c r="AJ928" s="905">
        <f t="shared" si="95"/>
        <v>0</v>
      </c>
      <c r="AK928" s="905">
        <f t="shared" si="96"/>
        <v>0</v>
      </c>
      <c r="AL928" s="905">
        <f>IFERROR(INDEX(G928:R928,1,MATCH(Parametres!$B$3,G$1:R$1,0)-1)*IF(OR(F928="L",F928="S",F928="I"),-1,1),"")</f>
        <v>0</v>
      </c>
      <c r="AM928" s="905">
        <f t="shared" si="97"/>
        <v>0</v>
      </c>
      <c r="AN928" s="905">
        <f>INDEX(G928:R928,1,MATCH(Parametres!$B$3,G$1:R$1,0))*IF(OR(F928="L",F928="S",F928="I"),-1,1)</f>
        <v>0</v>
      </c>
      <c r="AO928" s="487" t="e">
        <f>+VLOOKUP($AJ928,Data_Validation!$A:$D,1,0)</f>
        <v>#N/A</v>
      </c>
      <c r="AP928" s="487" t="e">
        <f>+VLOOKUP($AJ928,Data_Validation!$A:$D,3,0)</f>
        <v>#N/A</v>
      </c>
      <c r="AQ928" s="487" t="e">
        <f>+VLOOKUP($AJ928,Data_Validation!$A:$D,4,0)</f>
        <v>#N/A</v>
      </c>
      <c r="AR928" s="487" t="s">
        <v>299</v>
      </c>
      <c r="AS928" s="487" t="e">
        <f>+VLOOKUP($AJ928,Data_Validation!$A:$E,5,0)</f>
        <v>#N/A</v>
      </c>
      <c r="AT928" s="904">
        <f t="shared" si="98"/>
        <v>0</v>
      </c>
      <c r="AU928" s="488">
        <f t="shared" si="99"/>
        <v>0</v>
      </c>
      <c r="AV928" s="899">
        <f>IFERROR(INDEX(V928:AG928,1,MATCH(Parametres!$B$3,V$1:AG$1,0)-1)*IF(OR(C928="L",C928="S",C928="I"),-1,1),"")</f>
        <v>0</v>
      </c>
      <c r="AW928" s="899">
        <f t="shared" si="100"/>
        <v>0</v>
      </c>
      <c r="AX928" s="899">
        <f>INDEX(V928:AG928,1,MATCH(Parametres!$B$3,V$1:AG$1,0))*IF(OR(C928="L",C928="S",C928="I"),-1,1)</f>
        <v>0</v>
      </c>
      <c r="AY928" s="487" t="s">
        <v>337</v>
      </c>
      <c r="AZ928" s="487" t="e">
        <f>+VLOOKUP($AJ928,Data_Validation!$A:$E,5,0)</f>
        <v>#N/A</v>
      </c>
    </row>
    <row r="929" spans="36:52" ht="15" hidden="1" customHeight="1">
      <c r="AJ929" s="905">
        <f t="shared" si="95"/>
        <v>0</v>
      </c>
      <c r="AK929" s="905">
        <f t="shared" si="96"/>
        <v>0</v>
      </c>
      <c r="AL929" s="905">
        <f>IFERROR(INDEX(G929:R929,1,MATCH(Parametres!$B$3,G$1:R$1,0)-1)*IF(OR(F929="L",F929="S",F929="I"),-1,1),"")</f>
        <v>0</v>
      </c>
      <c r="AM929" s="905">
        <f t="shared" si="97"/>
        <v>0</v>
      </c>
      <c r="AN929" s="905">
        <f>INDEX(G929:R929,1,MATCH(Parametres!$B$3,G$1:R$1,0))*IF(OR(F929="L",F929="S",F929="I"),-1,1)</f>
        <v>0</v>
      </c>
      <c r="AO929" s="487" t="e">
        <f>+VLOOKUP($AJ929,Data_Validation!$A:$D,1,0)</f>
        <v>#N/A</v>
      </c>
      <c r="AP929" s="487" t="e">
        <f>+VLOOKUP($AJ929,Data_Validation!$A:$D,3,0)</f>
        <v>#N/A</v>
      </c>
      <c r="AQ929" s="487" t="e">
        <f>+VLOOKUP($AJ929,Data_Validation!$A:$D,4,0)</f>
        <v>#N/A</v>
      </c>
      <c r="AR929" s="487" t="s">
        <v>299</v>
      </c>
      <c r="AS929" s="487" t="e">
        <f>+VLOOKUP($AJ929,Data_Validation!$A:$E,5,0)</f>
        <v>#N/A</v>
      </c>
      <c r="AT929" s="904">
        <f t="shared" si="98"/>
        <v>0</v>
      </c>
      <c r="AU929" s="488">
        <f t="shared" si="99"/>
        <v>0</v>
      </c>
      <c r="AV929" s="899">
        <f>IFERROR(INDEX(V929:AG929,1,MATCH(Parametres!$B$3,V$1:AG$1,0)-1)*IF(OR(C929="L",C929="S",C929="I"),-1,1),"")</f>
        <v>0</v>
      </c>
      <c r="AW929" s="899">
        <f t="shared" si="100"/>
        <v>0</v>
      </c>
      <c r="AX929" s="899">
        <f>INDEX(V929:AG929,1,MATCH(Parametres!$B$3,V$1:AG$1,0))*IF(OR(C929="L",C929="S",C929="I"),-1,1)</f>
        <v>0</v>
      </c>
      <c r="AY929" s="487" t="s">
        <v>337</v>
      </c>
      <c r="AZ929" s="487" t="e">
        <f>+VLOOKUP($AJ929,Data_Validation!$A:$E,5,0)</f>
        <v>#N/A</v>
      </c>
    </row>
    <row r="930" spans="36:52" ht="15" hidden="1" customHeight="1">
      <c r="AJ930" s="905">
        <f t="shared" si="95"/>
        <v>0</v>
      </c>
      <c r="AK930" s="905">
        <f t="shared" si="96"/>
        <v>0</v>
      </c>
      <c r="AL930" s="905">
        <f>IFERROR(INDEX(G930:R930,1,MATCH(Parametres!$B$3,G$1:R$1,0)-1)*IF(OR(F930="L",F930="S",F930="I"),-1,1),"")</f>
        <v>0</v>
      </c>
      <c r="AM930" s="905">
        <f t="shared" si="97"/>
        <v>0</v>
      </c>
      <c r="AN930" s="905">
        <f>INDEX(G930:R930,1,MATCH(Parametres!$B$3,G$1:R$1,0))*IF(OR(F930="L",F930="S",F930="I"),-1,1)</f>
        <v>0</v>
      </c>
      <c r="AO930" s="487" t="e">
        <f>+VLOOKUP($AJ930,Data_Validation!$A:$D,1,0)</f>
        <v>#N/A</v>
      </c>
      <c r="AP930" s="487" t="e">
        <f>+VLOOKUP($AJ930,Data_Validation!$A:$D,3,0)</f>
        <v>#N/A</v>
      </c>
      <c r="AQ930" s="487" t="e">
        <f>+VLOOKUP($AJ930,Data_Validation!$A:$D,4,0)</f>
        <v>#N/A</v>
      </c>
      <c r="AR930" s="487" t="s">
        <v>299</v>
      </c>
      <c r="AS930" s="487" t="e">
        <f>+VLOOKUP($AJ930,Data_Validation!$A:$E,5,0)</f>
        <v>#N/A</v>
      </c>
      <c r="AT930" s="904">
        <f t="shared" si="98"/>
        <v>0</v>
      </c>
      <c r="AU930" s="488">
        <f t="shared" si="99"/>
        <v>0</v>
      </c>
      <c r="AV930" s="899">
        <f>IFERROR(INDEX(V930:AG930,1,MATCH(Parametres!$B$3,V$1:AG$1,0)-1)*IF(OR(C930="L",C930="S",C930="I"),-1,1),"")</f>
        <v>0</v>
      </c>
      <c r="AW930" s="899">
        <f t="shared" si="100"/>
        <v>0</v>
      </c>
      <c r="AX930" s="899">
        <f>INDEX(V930:AG930,1,MATCH(Parametres!$B$3,V$1:AG$1,0))*IF(OR(C930="L",C930="S",C930="I"),-1,1)</f>
        <v>0</v>
      </c>
      <c r="AY930" s="487" t="s">
        <v>337</v>
      </c>
      <c r="AZ930" s="487" t="e">
        <f>+VLOOKUP($AJ930,Data_Validation!$A:$E,5,0)</f>
        <v>#N/A</v>
      </c>
    </row>
    <row r="931" spans="36:52" ht="15" hidden="1" customHeight="1">
      <c r="AJ931" s="905">
        <f t="shared" si="95"/>
        <v>0</v>
      </c>
      <c r="AK931" s="905">
        <f t="shared" si="96"/>
        <v>0</v>
      </c>
      <c r="AL931" s="905">
        <f>IFERROR(INDEX(G931:R931,1,MATCH(Parametres!$B$3,G$1:R$1,0)-1)*IF(OR(F931="L",F931="S",F931="I"),-1,1),"")</f>
        <v>0</v>
      </c>
      <c r="AM931" s="905">
        <f t="shared" si="97"/>
        <v>0</v>
      </c>
      <c r="AN931" s="905">
        <f>INDEX(G931:R931,1,MATCH(Parametres!$B$3,G$1:R$1,0))*IF(OR(F931="L",F931="S",F931="I"),-1,1)</f>
        <v>0</v>
      </c>
      <c r="AO931" s="487" t="e">
        <f>+VLOOKUP($AJ931,Data_Validation!$A:$D,1,0)</f>
        <v>#N/A</v>
      </c>
      <c r="AP931" s="487" t="e">
        <f>+VLOOKUP($AJ931,Data_Validation!$A:$D,3,0)</f>
        <v>#N/A</v>
      </c>
      <c r="AQ931" s="487" t="e">
        <f>+VLOOKUP($AJ931,Data_Validation!$A:$D,4,0)</f>
        <v>#N/A</v>
      </c>
      <c r="AR931" s="487" t="s">
        <v>299</v>
      </c>
      <c r="AS931" s="487" t="e">
        <f>+VLOOKUP($AJ931,Data_Validation!$A:$E,5,0)</f>
        <v>#N/A</v>
      </c>
      <c r="AT931" s="904">
        <f t="shared" si="98"/>
        <v>0</v>
      </c>
      <c r="AU931" s="488">
        <f t="shared" si="99"/>
        <v>0</v>
      </c>
      <c r="AV931" s="899">
        <f>IFERROR(INDEX(V931:AG931,1,MATCH(Parametres!$B$3,V$1:AG$1,0)-1)*IF(OR(C931="L",C931="S",C931="I"),-1,1),"")</f>
        <v>0</v>
      </c>
      <c r="AW931" s="899">
        <f t="shared" si="100"/>
        <v>0</v>
      </c>
      <c r="AX931" s="899">
        <f>INDEX(V931:AG931,1,MATCH(Parametres!$B$3,V$1:AG$1,0))*IF(OR(C931="L",C931="S",C931="I"),-1,1)</f>
        <v>0</v>
      </c>
      <c r="AY931" s="487" t="s">
        <v>337</v>
      </c>
      <c r="AZ931" s="487" t="e">
        <f>+VLOOKUP($AJ931,Data_Validation!$A:$E,5,0)</f>
        <v>#N/A</v>
      </c>
    </row>
    <row r="932" spans="36:52" ht="15" hidden="1" customHeight="1">
      <c r="AJ932" s="905">
        <f t="shared" si="95"/>
        <v>0</v>
      </c>
      <c r="AK932" s="905">
        <f t="shared" si="96"/>
        <v>0</v>
      </c>
      <c r="AL932" s="905">
        <f>IFERROR(INDEX(G932:R932,1,MATCH(Parametres!$B$3,G$1:R$1,0)-1)*IF(OR(F932="L",F932="S",F932="I"),-1,1),"")</f>
        <v>0</v>
      </c>
      <c r="AM932" s="905">
        <f t="shared" si="97"/>
        <v>0</v>
      </c>
      <c r="AN932" s="905">
        <f>INDEX(G932:R932,1,MATCH(Parametres!$B$3,G$1:R$1,0))*IF(OR(F932="L",F932="S",F932="I"),-1,1)</f>
        <v>0</v>
      </c>
      <c r="AO932" s="487" t="e">
        <f>+VLOOKUP($AJ932,Data_Validation!$A:$D,1,0)</f>
        <v>#N/A</v>
      </c>
      <c r="AP932" s="487" t="e">
        <f>+VLOOKUP($AJ932,Data_Validation!$A:$D,3,0)</f>
        <v>#N/A</v>
      </c>
      <c r="AQ932" s="487" t="e">
        <f>+VLOOKUP($AJ932,Data_Validation!$A:$D,4,0)</f>
        <v>#N/A</v>
      </c>
      <c r="AR932" s="487" t="s">
        <v>299</v>
      </c>
      <c r="AS932" s="487" t="e">
        <f>+VLOOKUP($AJ932,Data_Validation!$A:$E,5,0)</f>
        <v>#N/A</v>
      </c>
      <c r="AT932" s="904">
        <f t="shared" si="98"/>
        <v>0</v>
      </c>
      <c r="AU932" s="488">
        <f t="shared" si="99"/>
        <v>0</v>
      </c>
      <c r="AV932" s="899">
        <f>IFERROR(INDEX(V932:AG932,1,MATCH(Parametres!$B$3,V$1:AG$1,0)-1)*IF(OR(C932="L",C932="S",C932="I"),-1,1),"")</f>
        <v>0</v>
      </c>
      <c r="AW932" s="899">
        <f t="shared" si="100"/>
        <v>0</v>
      </c>
      <c r="AX932" s="899">
        <f>INDEX(V932:AG932,1,MATCH(Parametres!$B$3,V$1:AG$1,0))*IF(OR(C932="L",C932="S",C932="I"),-1,1)</f>
        <v>0</v>
      </c>
      <c r="AY932" s="487" t="s">
        <v>337</v>
      </c>
      <c r="AZ932" s="487" t="e">
        <f>+VLOOKUP($AJ932,Data_Validation!$A:$E,5,0)</f>
        <v>#N/A</v>
      </c>
    </row>
    <row r="933" spans="36:52" ht="15" hidden="1" customHeight="1">
      <c r="AJ933" s="905">
        <f t="shared" si="95"/>
        <v>0</v>
      </c>
      <c r="AK933" s="905">
        <f t="shared" si="96"/>
        <v>0</v>
      </c>
      <c r="AL933" s="905">
        <f>IFERROR(INDEX(G933:R933,1,MATCH(Parametres!$B$3,G$1:R$1,0)-1)*IF(OR(F933="L",F933="S",F933="I"),-1,1),"")</f>
        <v>0</v>
      </c>
      <c r="AM933" s="905">
        <f t="shared" si="97"/>
        <v>0</v>
      </c>
      <c r="AN933" s="905">
        <f>INDEX(G933:R933,1,MATCH(Parametres!$B$3,G$1:R$1,0))*IF(OR(F933="L",F933="S",F933="I"),-1,1)</f>
        <v>0</v>
      </c>
      <c r="AO933" s="487" t="e">
        <f>+VLOOKUP($AJ933,Data_Validation!$A:$D,1,0)</f>
        <v>#N/A</v>
      </c>
      <c r="AP933" s="487" t="e">
        <f>+VLOOKUP($AJ933,Data_Validation!$A:$D,3,0)</f>
        <v>#N/A</v>
      </c>
      <c r="AQ933" s="487" t="e">
        <f>+VLOOKUP($AJ933,Data_Validation!$A:$D,4,0)</f>
        <v>#N/A</v>
      </c>
      <c r="AR933" s="487" t="s">
        <v>299</v>
      </c>
      <c r="AS933" s="487" t="e">
        <f>+VLOOKUP($AJ933,Data_Validation!$A:$E,5,0)</f>
        <v>#N/A</v>
      </c>
      <c r="AT933" s="904">
        <f t="shared" si="98"/>
        <v>0</v>
      </c>
      <c r="AU933" s="488">
        <f t="shared" si="99"/>
        <v>0</v>
      </c>
      <c r="AV933" s="899">
        <f>IFERROR(INDEX(V933:AG933,1,MATCH(Parametres!$B$3,V$1:AG$1,0)-1)*IF(OR(C933="L",C933="S",C933="I"),-1,1),"")</f>
        <v>0</v>
      </c>
      <c r="AW933" s="899">
        <f t="shared" si="100"/>
        <v>0</v>
      </c>
      <c r="AX933" s="899">
        <f>INDEX(V933:AG933,1,MATCH(Parametres!$B$3,V$1:AG$1,0))*IF(OR(C933="L",C933="S",C933="I"),-1,1)</f>
        <v>0</v>
      </c>
      <c r="AY933" s="487" t="s">
        <v>337</v>
      </c>
      <c r="AZ933" s="487" t="e">
        <f>+VLOOKUP($AJ933,Data_Validation!$A:$E,5,0)</f>
        <v>#N/A</v>
      </c>
    </row>
    <row r="934" spans="36:52" ht="15" hidden="1" customHeight="1">
      <c r="AJ934" s="905">
        <f t="shared" si="95"/>
        <v>0</v>
      </c>
      <c r="AK934" s="905">
        <f t="shared" si="96"/>
        <v>0</v>
      </c>
      <c r="AL934" s="905">
        <f>IFERROR(INDEX(G934:R934,1,MATCH(Parametres!$B$3,G$1:R$1,0)-1)*IF(OR(F934="L",F934="S",F934="I"),-1,1),"")</f>
        <v>0</v>
      </c>
      <c r="AM934" s="905">
        <f t="shared" si="97"/>
        <v>0</v>
      </c>
      <c r="AN934" s="905">
        <f>INDEX(G934:R934,1,MATCH(Parametres!$B$3,G$1:R$1,0))*IF(OR(F934="L",F934="S",F934="I"),-1,1)</f>
        <v>0</v>
      </c>
      <c r="AO934" s="487" t="e">
        <f>+VLOOKUP($AJ934,Data_Validation!$A:$D,1,0)</f>
        <v>#N/A</v>
      </c>
      <c r="AP934" s="487" t="e">
        <f>+VLOOKUP($AJ934,Data_Validation!$A:$D,3,0)</f>
        <v>#N/A</v>
      </c>
      <c r="AQ934" s="487" t="e">
        <f>+VLOOKUP($AJ934,Data_Validation!$A:$D,4,0)</f>
        <v>#N/A</v>
      </c>
      <c r="AR934" s="487" t="s">
        <v>299</v>
      </c>
      <c r="AS934" s="487" t="e">
        <f>+VLOOKUP($AJ934,Data_Validation!$A:$E,5,0)</f>
        <v>#N/A</v>
      </c>
      <c r="AT934" s="904">
        <f t="shared" si="98"/>
        <v>0</v>
      </c>
      <c r="AU934" s="488">
        <f t="shared" si="99"/>
        <v>0</v>
      </c>
      <c r="AV934" s="899">
        <f>IFERROR(INDEX(V934:AG934,1,MATCH(Parametres!$B$3,V$1:AG$1,0)-1)*IF(OR(C934="L",C934="S",C934="I"),-1,1),"")</f>
        <v>0</v>
      </c>
      <c r="AW934" s="899">
        <f t="shared" si="100"/>
        <v>0</v>
      </c>
      <c r="AX934" s="899">
        <f>INDEX(V934:AG934,1,MATCH(Parametres!$B$3,V$1:AG$1,0))*IF(OR(C934="L",C934="S",C934="I"),-1,1)</f>
        <v>0</v>
      </c>
      <c r="AY934" s="487" t="s">
        <v>337</v>
      </c>
      <c r="AZ934" s="487" t="e">
        <f>+VLOOKUP($AJ934,Data_Validation!$A:$E,5,0)</f>
        <v>#N/A</v>
      </c>
    </row>
    <row r="935" spans="36:52" ht="15" hidden="1" customHeight="1">
      <c r="AJ935" s="905">
        <f t="shared" si="95"/>
        <v>0</v>
      </c>
      <c r="AK935" s="905">
        <f t="shared" si="96"/>
        <v>0</v>
      </c>
      <c r="AL935" s="905">
        <f>IFERROR(INDEX(G935:R935,1,MATCH(Parametres!$B$3,G$1:R$1,0)-1)*IF(OR(F935="L",F935="S",F935="I"),-1,1),"")</f>
        <v>0</v>
      </c>
      <c r="AM935" s="905">
        <f t="shared" si="97"/>
        <v>0</v>
      </c>
      <c r="AN935" s="905">
        <f>INDEX(G935:R935,1,MATCH(Parametres!$B$3,G$1:R$1,0))*IF(OR(F935="L",F935="S",F935="I"),-1,1)</f>
        <v>0</v>
      </c>
      <c r="AO935" s="487" t="e">
        <f>+VLOOKUP($AJ935,Data_Validation!$A:$D,1,0)</f>
        <v>#N/A</v>
      </c>
      <c r="AP935" s="487" t="e">
        <f>+VLOOKUP($AJ935,Data_Validation!$A:$D,3,0)</f>
        <v>#N/A</v>
      </c>
      <c r="AQ935" s="487" t="e">
        <f>+VLOOKUP($AJ935,Data_Validation!$A:$D,4,0)</f>
        <v>#N/A</v>
      </c>
      <c r="AR935" s="487" t="s">
        <v>299</v>
      </c>
      <c r="AS935" s="487" t="e">
        <f>+VLOOKUP($AJ935,Data_Validation!$A:$E,5,0)</f>
        <v>#N/A</v>
      </c>
      <c r="AT935" s="904">
        <f t="shared" si="98"/>
        <v>0</v>
      </c>
      <c r="AU935" s="488">
        <f t="shared" si="99"/>
        <v>0</v>
      </c>
      <c r="AV935" s="899">
        <f>IFERROR(INDEX(V935:AG935,1,MATCH(Parametres!$B$3,V$1:AG$1,0)-1)*IF(OR(C935="L",C935="S",C935="I"),-1,1),"")</f>
        <v>0</v>
      </c>
      <c r="AW935" s="899">
        <f t="shared" si="100"/>
        <v>0</v>
      </c>
      <c r="AX935" s="899">
        <f>INDEX(V935:AG935,1,MATCH(Parametres!$B$3,V$1:AG$1,0))*IF(OR(C935="L",C935="S",C935="I"),-1,1)</f>
        <v>0</v>
      </c>
      <c r="AY935" s="487" t="s">
        <v>337</v>
      </c>
      <c r="AZ935" s="487" t="e">
        <f>+VLOOKUP($AJ935,Data_Validation!$A:$E,5,0)</f>
        <v>#N/A</v>
      </c>
    </row>
    <row r="936" spans="36:52" ht="15" hidden="1" customHeight="1">
      <c r="AJ936" s="905">
        <f t="shared" si="95"/>
        <v>0</v>
      </c>
      <c r="AK936" s="905">
        <f t="shared" si="96"/>
        <v>0</v>
      </c>
      <c r="AL936" s="905">
        <f>IFERROR(INDEX(G936:R936,1,MATCH(Parametres!$B$3,G$1:R$1,0)-1)*IF(OR(F936="L",F936="S",F936="I"),-1,1),"")</f>
        <v>0</v>
      </c>
      <c r="AM936" s="905">
        <f t="shared" si="97"/>
        <v>0</v>
      </c>
      <c r="AN936" s="905">
        <f>INDEX(G936:R936,1,MATCH(Parametres!$B$3,G$1:R$1,0))*IF(OR(F936="L",F936="S",F936="I"),-1,1)</f>
        <v>0</v>
      </c>
      <c r="AO936" s="487" t="e">
        <f>+VLOOKUP($AJ936,Data_Validation!$A:$D,1,0)</f>
        <v>#N/A</v>
      </c>
      <c r="AP936" s="487" t="e">
        <f>+VLOOKUP($AJ936,Data_Validation!$A:$D,3,0)</f>
        <v>#N/A</v>
      </c>
      <c r="AQ936" s="487" t="e">
        <f>+VLOOKUP($AJ936,Data_Validation!$A:$D,4,0)</f>
        <v>#N/A</v>
      </c>
      <c r="AR936" s="487" t="s">
        <v>299</v>
      </c>
      <c r="AS936" s="487" t="e">
        <f>+VLOOKUP($AJ936,Data_Validation!$A:$E,5,0)</f>
        <v>#N/A</v>
      </c>
      <c r="AT936" s="904">
        <f t="shared" si="98"/>
        <v>0</v>
      </c>
      <c r="AU936" s="488">
        <f t="shared" si="99"/>
        <v>0</v>
      </c>
      <c r="AV936" s="899">
        <f>IFERROR(INDEX(V936:AG936,1,MATCH(Parametres!$B$3,V$1:AG$1,0)-1)*IF(OR(C936="L",C936="S",C936="I"),-1,1),"")</f>
        <v>0</v>
      </c>
      <c r="AW936" s="899">
        <f t="shared" si="100"/>
        <v>0</v>
      </c>
      <c r="AX936" s="899">
        <f>INDEX(V936:AG936,1,MATCH(Parametres!$B$3,V$1:AG$1,0))*IF(OR(C936="L",C936="S",C936="I"),-1,1)</f>
        <v>0</v>
      </c>
      <c r="AY936" s="487" t="s">
        <v>337</v>
      </c>
      <c r="AZ936" s="487" t="e">
        <f>+VLOOKUP($AJ936,Data_Validation!$A:$E,5,0)</f>
        <v>#N/A</v>
      </c>
    </row>
    <row r="937" spans="36:52" ht="15" hidden="1" customHeight="1">
      <c r="AJ937" s="905">
        <f t="shared" si="95"/>
        <v>0</v>
      </c>
      <c r="AK937" s="905">
        <f t="shared" si="96"/>
        <v>0</v>
      </c>
      <c r="AL937" s="905">
        <f>IFERROR(INDEX(G937:R937,1,MATCH(Parametres!$B$3,G$1:R$1,0)-1)*IF(OR(F937="L",F937="S",F937="I"),-1,1),"")</f>
        <v>0</v>
      </c>
      <c r="AM937" s="905">
        <f t="shared" si="97"/>
        <v>0</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f t="shared" si="98"/>
        <v>0</v>
      </c>
      <c r="AU937" s="488">
        <f t="shared" si="99"/>
        <v>0</v>
      </c>
      <c r="AV937" s="899">
        <f>IFERROR(INDEX(V937:AG937,1,MATCH(Parametres!$B$3,V$1:AG$1,0)-1)*IF(OR(C937="L",C937="S",C937="I"),-1,1),"")</f>
        <v>0</v>
      </c>
      <c r="AW937" s="899">
        <f t="shared" si="100"/>
        <v>0</v>
      </c>
      <c r="AX937" s="899">
        <f>INDEX(V937:AG937,1,MATCH(Parametres!$B$3,V$1:AG$1,0))*IF(OR(C937="L",C937="S",C937="I"),-1,1)</f>
        <v>0</v>
      </c>
      <c r="AY937" s="487" t="s">
        <v>337</v>
      </c>
      <c r="AZ937" s="487" t="e">
        <f>+VLOOKUP($AJ937,Data_Validation!$A:$E,5,0)</f>
        <v>#N/A</v>
      </c>
    </row>
    <row r="938" spans="36:52" ht="15" hidden="1" customHeight="1">
      <c r="AJ938" s="905">
        <f t="shared" si="95"/>
        <v>0</v>
      </c>
      <c r="AK938" s="905">
        <f t="shared" si="96"/>
        <v>0</v>
      </c>
      <c r="AL938" s="905">
        <f>IFERROR(INDEX(G938:R938,1,MATCH(Parametres!$B$3,G$1:R$1,0)-1)*IF(OR(F938="L",F938="S",F938="I"),-1,1),"")</f>
        <v>0</v>
      </c>
      <c r="AM938" s="905">
        <f t="shared" si="97"/>
        <v>0</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f t="shared" si="98"/>
        <v>0</v>
      </c>
      <c r="AU938" s="488">
        <f t="shared" si="99"/>
        <v>0</v>
      </c>
      <c r="AV938" s="899">
        <f>IFERROR(INDEX(V938:AG938,1,MATCH(Parametres!$B$3,V$1:AG$1,0)-1)*IF(OR(C938="L",C938="S",C938="I"),-1,1),"")</f>
        <v>0</v>
      </c>
      <c r="AW938" s="899">
        <f t="shared" si="100"/>
        <v>0</v>
      </c>
      <c r="AX938" s="899">
        <f>INDEX(V938:AG938,1,MATCH(Parametres!$B$3,V$1:AG$1,0))*IF(OR(C938="L",C938="S",C938="I"),-1,1)</f>
        <v>0</v>
      </c>
      <c r="AY938" s="487" t="s">
        <v>337</v>
      </c>
      <c r="AZ938" s="487" t="e">
        <f>+VLOOKUP($AJ938,Data_Validation!$A:$E,5,0)</f>
        <v>#N/A</v>
      </c>
    </row>
    <row r="939" spans="36:52" ht="15" hidden="1" customHeight="1">
      <c r="AJ939" s="905">
        <f t="shared" si="95"/>
        <v>0</v>
      </c>
      <c r="AK939" s="905">
        <f t="shared" si="96"/>
        <v>0</v>
      </c>
      <c r="AL939" s="905">
        <f>IFERROR(INDEX(G939:R939,1,MATCH(Parametres!$B$3,G$1:R$1,0)-1)*IF(OR(F939="L",F939="S",F939="I"),-1,1),"")</f>
        <v>0</v>
      </c>
      <c r="AM939" s="905">
        <f t="shared" si="97"/>
        <v>0</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f t="shared" si="98"/>
        <v>0</v>
      </c>
      <c r="AU939" s="488">
        <f t="shared" si="99"/>
        <v>0</v>
      </c>
      <c r="AV939" s="899">
        <f>IFERROR(INDEX(V939:AG939,1,MATCH(Parametres!$B$3,V$1:AG$1,0)-1)*IF(OR(C939="L",C939="S",C939="I"),-1,1),"")</f>
        <v>0</v>
      </c>
      <c r="AW939" s="899">
        <f t="shared" si="100"/>
        <v>0</v>
      </c>
      <c r="AX939" s="899">
        <f>INDEX(V939:AG939,1,MATCH(Parametres!$B$3,V$1:AG$1,0))*IF(OR(C939="L",C939="S",C939="I"),-1,1)</f>
        <v>0</v>
      </c>
      <c r="AY939" s="487" t="s">
        <v>337</v>
      </c>
      <c r="AZ939" s="487" t="e">
        <f>+VLOOKUP($AJ939,Data_Validation!$A:$E,5,0)</f>
        <v>#N/A</v>
      </c>
    </row>
    <row r="940" spans="36:52" ht="15" hidden="1" customHeight="1">
      <c r="AJ940" s="905">
        <f t="shared" si="95"/>
        <v>0</v>
      </c>
      <c r="AK940" s="905">
        <f t="shared" si="96"/>
        <v>0</v>
      </c>
      <c r="AL940" s="905">
        <f>IFERROR(INDEX(G940:R940,1,MATCH(Parametres!$B$3,G$1:R$1,0)-1)*IF(OR(F940="L",F940="S",F940="I"),-1,1),"")</f>
        <v>0</v>
      </c>
      <c r="AM940" s="905">
        <f t="shared" si="97"/>
        <v>0</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f t="shared" si="98"/>
        <v>0</v>
      </c>
      <c r="AU940" s="488">
        <f t="shared" si="99"/>
        <v>0</v>
      </c>
      <c r="AV940" s="899">
        <f>IFERROR(INDEX(V940:AG940,1,MATCH(Parametres!$B$3,V$1:AG$1,0)-1)*IF(OR(C940="L",C940="S",C940="I"),-1,1),"")</f>
        <v>0</v>
      </c>
      <c r="AW940" s="899">
        <f t="shared" si="100"/>
        <v>0</v>
      </c>
      <c r="AX940" s="899">
        <f>INDEX(V940:AG940,1,MATCH(Parametres!$B$3,V$1:AG$1,0))*IF(OR(C940="L",C940="S",C940="I"),-1,1)</f>
        <v>0</v>
      </c>
      <c r="AY940" s="487" t="s">
        <v>337</v>
      </c>
      <c r="AZ940" s="487" t="e">
        <f>+VLOOKUP($AJ940,Data_Validation!$A:$E,5,0)</f>
        <v>#N/A</v>
      </c>
    </row>
    <row r="941" spans="36:52" ht="15" hidden="1" customHeight="1">
      <c r="AJ941" s="905">
        <f t="shared" si="95"/>
        <v>0</v>
      </c>
      <c r="AK941" s="905">
        <f t="shared" si="96"/>
        <v>0</v>
      </c>
      <c r="AL941" s="905">
        <f>IFERROR(INDEX(G941:R941,1,MATCH(Parametres!$B$3,G$1:R$1,0)-1)*IF(OR(F941="L",F941="S",F941="I"),-1,1),"")</f>
        <v>0</v>
      </c>
      <c r="AM941" s="905">
        <f t="shared" si="97"/>
        <v>0</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f t="shared" si="98"/>
        <v>0</v>
      </c>
      <c r="AU941" s="488">
        <f t="shared" si="99"/>
        <v>0</v>
      </c>
      <c r="AV941" s="899">
        <f>IFERROR(INDEX(V941:AG941,1,MATCH(Parametres!$B$3,V$1:AG$1,0)-1)*IF(OR(C941="L",C941="S",C941="I"),-1,1),"")</f>
        <v>0</v>
      </c>
      <c r="AW941" s="899">
        <f t="shared" si="100"/>
        <v>0</v>
      </c>
      <c r="AX941" s="899">
        <f>INDEX(V941:AG941,1,MATCH(Parametres!$B$3,V$1:AG$1,0))*IF(OR(C941="L",C941="S",C941="I"),-1,1)</f>
        <v>0</v>
      </c>
      <c r="AY941" s="487" t="s">
        <v>337</v>
      </c>
      <c r="AZ941" s="487" t="e">
        <f>+VLOOKUP($AJ941,Data_Validation!$A:$E,5,0)</f>
        <v>#N/A</v>
      </c>
    </row>
    <row r="942" spans="36:52" ht="15" hidden="1" customHeight="1">
      <c r="AJ942" s="905">
        <f t="shared" si="95"/>
        <v>0</v>
      </c>
      <c r="AK942" s="905">
        <f t="shared" si="96"/>
        <v>0</v>
      </c>
      <c r="AL942" s="905">
        <f>IFERROR(INDEX(G942:R942,1,MATCH(Parametres!$B$3,G$1:R$1,0)-1)*IF(OR(F942="L",F942="S",F942="I"),-1,1),"")</f>
        <v>0</v>
      </c>
      <c r="AM942" s="905">
        <f t="shared" si="97"/>
        <v>0</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f t="shared" si="98"/>
        <v>0</v>
      </c>
      <c r="AU942" s="488">
        <f t="shared" si="99"/>
        <v>0</v>
      </c>
      <c r="AV942" s="899">
        <f>IFERROR(INDEX(V942:AG942,1,MATCH(Parametres!$B$3,V$1:AG$1,0)-1)*IF(OR(C942="L",C942="S",C942="I"),-1,1),"")</f>
        <v>0</v>
      </c>
      <c r="AW942" s="899">
        <f t="shared" si="100"/>
        <v>0</v>
      </c>
      <c r="AX942" s="899">
        <f>INDEX(V942:AG942,1,MATCH(Parametres!$B$3,V$1:AG$1,0))*IF(OR(C942="L",C942="S",C942="I"),-1,1)</f>
        <v>0</v>
      </c>
      <c r="AY942" s="487" t="s">
        <v>337</v>
      </c>
      <c r="AZ942" s="487" t="e">
        <f>+VLOOKUP($AJ942,Data_Validation!$A:$E,5,0)</f>
        <v>#N/A</v>
      </c>
    </row>
    <row r="943" spans="36:52" ht="15" hidden="1" customHeight="1">
      <c r="AJ943" s="905">
        <f t="shared" si="95"/>
        <v>0</v>
      </c>
      <c r="AK943" s="905">
        <f t="shared" si="96"/>
        <v>0</v>
      </c>
      <c r="AL943" s="905">
        <f>IFERROR(INDEX(G943:R943,1,MATCH(Parametres!$B$3,G$1:R$1,0)-1)*IF(OR(F943="L",F943="S",F943="I"),-1,1),"")</f>
        <v>0</v>
      </c>
      <c r="AM943" s="905">
        <f t="shared" si="97"/>
        <v>0</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f t="shared" si="98"/>
        <v>0</v>
      </c>
      <c r="AU943" s="488">
        <f t="shared" si="99"/>
        <v>0</v>
      </c>
      <c r="AV943" s="899">
        <f>IFERROR(INDEX(V943:AG943,1,MATCH(Parametres!$B$3,V$1:AG$1,0)-1)*IF(OR(C943="L",C943="S",C943="I"),-1,1),"")</f>
        <v>0</v>
      </c>
      <c r="AW943" s="899">
        <f t="shared" si="100"/>
        <v>0</v>
      </c>
      <c r="AX943" s="899">
        <f>INDEX(V943:AG943,1,MATCH(Parametres!$B$3,V$1:AG$1,0))*IF(OR(C943="L",C943="S",C943="I"),-1,1)</f>
        <v>0</v>
      </c>
      <c r="AY943" s="487" t="s">
        <v>337</v>
      </c>
      <c r="AZ943" s="487" t="e">
        <f>+VLOOKUP($AJ943,Data_Validation!$A:$E,5,0)</f>
        <v>#N/A</v>
      </c>
    </row>
    <row r="944" spans="36:52" ht="15" hidden="1" customHeight="1">
      <c r="AJ944" s="905">
        <f t="shared" si="95"/>
        <v>0</v>
      </c>
      <c r="AK944" s="905">
        <f t="shared" si="96"/>
        <v>0</v>
      </c>
      <c r="AL944" s="905">
        <f>IFERROR(INDEX(G944:R944,1,MATCH(Parametres!$B$3,G$1:R$1,0)-1)*IF(OR(F944="L",F944="S",F944="I"),-1,1),"")</f>
        <v>0</v>
      </c>
      <c r="AM944" s="905">
        <f t="shared" si="97"/>
        <v>0</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f t="shared" si="98"/>
        <v>0</v>
      </c>
      <c r="AU944" s="488">
        <f t="shared" si="99"/>
        <v>0</v>
      </c>
      <c r="AV944" s="899">
        <f>IFERROR(INDEX(V944:AG944,1,MATCH(Parametres!$B$3,V$1:AG$1,0)-1)*IF(OR(C944="L",C944="S",C944="I"),-1,1),"")</f>
        <v>0</v>
      </c>
      <c r="AW944" s="899">
        <f t="shared" si="100"/>
        <v>0</v>
      </c>
      <c r="AX944" s="899">
        <f>INDEX(V944:AG944,1,MATCH(Parametres!$B$3,V$1:AG$1,0))*IF(OR(C944="L",C944="S",C944="I"),-1,1)</f>
        <v>0</v>
      </c>
      <c r="AY944" s="487" t="s">
        <v>337</v>
      </c>
      <c r="AZ944" s="487" t="e">
        <f>+VLOOKUP($AJ944,Data_Validation!$A:$E,5,0)</f>
        <v>#N/A</v>
      </c>
    </row>
    <row r="945" spans="36:52" ht="15" hidden="1" customHeight="1">
      <c r="AJ945" s="905">
        <f t="shared" si="95"/>
        <v>0</v>
      </c>
      <c r="AK945" s="905">
        <f t="shared" si="96"/>
        <v>0</v>
      </c>
      <c r="AL945" s="905">
        <f>IFERROR(INDEX(G945:R945,1,MATCH(Parametres!$B$3,G$1:R$1,0)-1)*IF(OR(F945="L",F945="S",F945="I"),-1,1),"")</f>
        <v>0</v>
      </c>
      <c r="AM945" s="905">
        <f t="shared" si="97"/>
        <v>0</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f t="shared" si="98"/>
        <v>0</v>
      </c>
      <c r="AU945" s="488">
        <f t="shared" si="99"/>
        <v>0</v>
      </c>
      <c r="AV945" s="899">
        <f>IFERROR(INDEX(V945:AG945,1,MATCH(Parametres!$B$3,V$1:AG$1,0)-1)*IF(OR(C945="L",C945="S",C945="I"),-1,1),"")</f>
        <v>0</v>
      </c>
      <c r="AW945" s="899">
        <f t="shared" si="100"/>
        <v>0</v>
      </c>
      <c r="AX945" s="899">
        <f>INDEX(V945:AG945,1,MATCH(Parametres!$B$3,V$1:AG$1,0))*IF(OR(C945="L",C945="S",C945="I"),-1,1)</f>
        <v>0</v>
      </c>
      <c r="AY945" s="487" t="s">
        <v>337</v>
      </c>
      <c r="AZ945" s="487" t="e">
        <f>+VLOOKUP($AJ945,Data_Validation!$A:$E,5,0)</f>
        <v>#N/A</v>
      </c>
    </row>
    <row r="946" spans="36:52" ht="15" hidden="1" customHeight="1">
      <c r="AJ946" s="905">
        <f t="shared" si="95"/>
        <v>0</v>
      </c>
      <c r="AK946" s="905">
        <f t="shared" si="96"/>
        <v>0</v>
      </c>
      <c r="AL946" s="905">
        <f>IFERROR(INDEX(G946:R946,1,MATCH(Parametres!$B$3,G$1:R$1,0)-1)*IF(OR(F946="L",F946="S",F946="I"),-1,1),"")</f>
        <v>0</v>
      </c>
      <c r="AM946" s="905">
        <f t="shared" si="97"/>
        <v>0</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f t="shared" si="98"/>
        <v>0</v>
      </c>
      <c r="AU946" s="488">
        <f t="shared" si="99"/>
        <v>0</v>
      </c>
      <c r="AV946" s="899">
        <f>IFERROR(INDEX(V946:AG946,1,MATCH(Parametres!$B$3,V$1:AG$1,0)-1)*IF(OR(C946="L",C946="S",C946="I"),-1,1),"")</f>
        <v>0</v>
      </c>
      <c r="AW946" s="899">
        <f t="shared" si="100"/>
        <v>0</v>
      </c>
      <c r="AX946" s="899">
        <f>INDEX(V946:AG946,1,MATCH(Parametres!$B$3,V$1:AG$1,0))*IF(OR(C946="L",C946="S",C946="I"),-1,1)</f>
        <v>0</v>
      </c>
      <c r="AY946" s="487" t="s">
        <v>337</v>
      </c>
      <c r="AZ946" s="487" t="e">
        <f>+VLOOKUP($AJ946,Data_Validation!$A:$E,5,0)</f>
        <v>#N/A</v>
      </c>
    </row>
    <row r="947" spans="36:52" ht="15" hidden="1" customHeight="1">
      <c r="AJ947" s="905">
        <f t="shared" si="95"/>
        <v>0</v>
      </c>
      <c r="AK947" s="905">
        <f t="shared" si="96"/>
        <v>0</v>
      </c>
      <c r="AL947" s="905">
        <f>IFERROR(INDEX(G947:R947,1,MATCH(Parametres!$B$3,G$1:R$1,0)-1)*IF(OR(F947="L",F947="S",F947="I"),-1,1),"")</f>
        <v>0</v>
      </c>
      <c r="AM947" s="905">
        <f t="shared" si="97"/>
        <v>0</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f t="shared" si="98"/>
        <v>0</v>
      </c>
      <c r="AU947" s="488">
        <f t="shared" si="99"/>
        <v>0</v>
      </c>
      <c r="AV947" s="899">
        <f>IFERROR(INDEX(V947:AG947,1,MATCH(Parametres!$B$3,V$1:AG$1,0)-1)*IF(OR(C947="L",C947="S",C947="I"),-1,1),"")</f>
        <v>0</v>
      </c>
      <c r="AW947" s="899">
        <f t="shared" si="100"/>
        <v>0</v>
      </c>
      <c r="AX947" s="899">
        <f>INDEX(V947:AG947,1,MATCH(Parametres!$B$3,V$1:AG$1,0))*IF(OR(C947="L",C947="S",C947="I"),-1,1)</f>
        <v>0</v>
      </c>
      <c r="AY947" s="487" t="s">
        <v>337</v>
      </c>
      <c r="AZ947" s="487" t="e">
        <f>+VLOOKUP($AJ947,Data_Validation!$A:$E,5,0)</f>
        <v>#N/A</v>
      </c>
    </row>
    <row r="948" spans="36:52" ht="15" hidden="1" customHeight="1">
      <c r="AJ948" s="905">
        <f t="shared" si="95"/>
        <v>0</v>
      </c>
      <c r="AK948" s="905">
        <f t="shared" si="96"/>
        <v>0</v>
      </c>
      <c r="AL948" s="905">
        <f>IFERROR(INDEX(G948:R948,1,MATCH(Parametres!$B$3,G$1:R$1,0)-1)*IF(OR(F948="L",F948="S",F948="I"),-1,1),"")</f>
        <v>0</v>
      </c>
      <c r="AM948" s="905">
        <f t="shared" si="97"/>
        <v>0</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f t="shared" si="98"/>
        <v>0</v>
      </c>
      <c r="AU948" s="488">
        <f t="shared" si="99"/>
        <v>0</v>
      </c>
      <c r="AV948" s="899">
        <f>IFERROR(INDEX(V948:AG948,1,MATCH(Parametres!$B$3,V$1:AG$1,0)-1)*IF(OR(C948="L",C948="S",C948="I"),-1,1),"")</f>
        <v>0</v>
      </c>
      <c r="AW948" s="899">
        <f t="shared" si="100"/>
        <v>0</v>
      </c>
      <c r="AX948" s="899">
        <f>INDEX(V948:AG948,1,MATCH(Parametres!$B$3,V$1:AG$1,0))*IF(OR(C948="L",C948="S",C948="I"),-1,1)</f>
        <v>0</v>
      </c>
      <c r="AY948" s="487" t="s">
        <v>337</v>
      </c>
      <c r="AZ948" s="487" t="e">
        <f>+VLOOKUP($AJ948,Data_Validation!$A:$E,5,0)</f>
        <v>#N/A</v>
      </c>
    </row>
    <row r="949" spans="36:52" ht="15" hidden="1" customHeight="1">
      <c r="AJ949" s="905">
        <f t="shared" si="95"/>
        <v>0</v>
      </c>
      <c r="AK949" s="905">
        <f t="shared" si="96"/>
        <v>0</v>
      </c>
      <c r="AL949" s="905">
        <f>IFERROR(INDEX(G949:R949,1,MATCH(Parametres!$B$3,G$1:R$1,0)-1)*IF(OR(F949="L",F949="S",F949="I"),-1,1),"")</f>
        <v>0</v>
      </c>
      <c r="AM949" s="905">
        <f t="shared" si="97"/>
        <v>0</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f t="shared" si="98"/>
        <v>0</v>
      </c>
      <c r="AU949" s="488">
        <f t="shared" si="99"/>
        <v>0</v>
      </c>
      <c r="AV949" s="899">
        <f>IFERROR(INDEX(V949:AG949,1,MATCH(Parametres!$B$3,V$1:AG$1,0)-1)*IF(OR(C949="L",C949="S",C949="I"),-1,1),"")</f>
        <v>0</v>
      </c>
      <c r="AW949" s="899">
        <f t="shared" si="100"/>
        <v>0</v>
      </c>
      <c r="AX949" s="899">
        <f>INDEX(V949:AG949,1,MATCH(Parametres!$B$3,V$1:AG$1,0))*IF(OR(C949="L",C949="S",C949="I"),-1,1)</f>
        <v>0</v>
      </c>
      <c r="AY949" s="487" t="s">
        <v>337</v>
      </c>
      <c r="AZ949" s="487" t="e">
        <f>+VLOOKUP($AJ949,Data_Validation!$A:$E,5,0)</f>
        <v>#N/A</v>
      </c>
    </row>
    <row r="950" spans="36:52" ht="15" hidden="1" customHeight="1">
      <c r="AJ950" s="905">
        <f t="shared" si="95"/>
        <v>0</v>
      </c>
      <c r="AK950" s="905">
        <f t="shared" si="96"/>
        <v>0</v>
      </c>
      <c r="AL950" s="905">
        <f>IFERROR(INDEX(G950:R950,1,MATCH(Parametres!$B$3,G$1:R$1,0)-1)*IF(OR(F950="L",F950="S",F950="I"),-1,1),"")</f>
        <v>0</v>
      </c>
      <c r="AM950" s="905">
        <f t="shared" si="97"/>
        <v>0</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f t="shared" si="98"/>
        <v>0</v>
      </c>
      <c r="AU950" s="488">
        <f t="shared" si="99"/>
        <v>0</v>
      </c>
      <c r="AV950" s="899">
        <f>IFERROR(INDEX(V950:AG950,1,MATCH(Parametres!$B$3,V$1:AG$1,0)-1)*IF(OR(C950="L",C950="S",C950="I"),-1,1),"")</f>
        <v>0</v>
      </c>
      <c r="AW950" s="899">
        <f t="shared" si="100"/>
        <v>0</v>
      </c>
      <c r="AX950" s="899">
        <f>INDEX(V950:AG950,1,MATCH(Parametres!$B$3,V$1:AG$1,0))*IF(OR(C950="L",C950="S",C950="I"),-1,1)</f>
        <v>0</v>
      </c>
      <c r="AY950" s="487" t="s">
        <v>337</v>
      </c>
      <c r="AZ950" s="487" t="e">
        <f>+VLOOKUP($AJ950,Data_Validation!$A:$E,5,0)</f>
        <v>#N/A</v>
      </c>
    </row>
    <row r="951" spans="36:52" ht="15" hidden="1" customHeight="1">
      <c r="AJ951" s="905">
        <f t="shared" si="95"/>
        <v>0</v>
      </c>
      <c r="AK951" s="905">
        <f t="shared" si="96"/>
        <v>0</v>
      </c>
      <c r="AL951" s="905">
        <f>IFERROR(INDEX(G951:R951,1,MATCH(Parametres!$B$3,G$1:R$1,0)-1)*IF(OR(F951="L",F951="S",F951="I"),-1,1),"")</f>
        <v>0</v>
      </c>
      <c r="AM951" s="905">
        <f t="shared" si="97"/>
        <v>0</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f t="shared" si="98"/>
        <v>0</v>
      </c>
      <c r="AU951" s="488">
        <f t="shared" si="99"/>
        <v>0</v>
      </c>
      <c r="AV951" s="899">
        <f>IFERROR(INDEX(V951:AG951,1,MATCH(Parametres!$B$3,V$1:AG$1,0)-1)*IF(OR(C951="L",C951="S",C951="I"),-1,1),"")</f>
        <v>0</v>
      </c>
      <c r="AW951" s="899">
        <f t="shared" si="100"/>
        <v>0</v>
      </c>
      <c r="AX951" s="899">
        <f>INDEX(V951:AG951,1,MATCH(Parametres!$B$3,V$1:AG$1,0))*IF(OR(C951="L",C951="S",C951="I"),-1,1)</f>
        <v>0</v>
      </c>
      <c r="AY951" s="487" t="s">
        <v>337</v>
      </c>
      <c r="AZ951" s="487" t="e">
        <f>+VLOOKUP($AJ951,Data_Validation!$A:$E,5,0)</f>
        <v>#N/A</v>
      </c>
    </row>
    <row r="952" spans="36:52" ht="15" hidden="1" customHeight="1">
      <c r="AJ952" s="905">
        <f t="shared" si="95"/>
        <v>0</v>
      </c>
      <c r="AK952" s="905">
        <f t="shared" si="96"/>
        <v>0</v>
      </c>
      <c r="AL952" s="905">
        <f>IFERROR(INDEX(G952:R952,1,MATCH(Parametres!$B$3,G$1:R$1,0)-1)*IF(OR(F952="L",F952="S",F952="I"),-1,1),"")</f>
        <v>0</v>
      </c>
      <c r="AM952" s="905">
        <f t="shared" si="97"/>
        <v>0</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f t="shared" si="98"/>
        <v>0</v>
      </c>
      <c r="AU952" s="488">
        <f t="shared" si="99"/>
        <v>0</v>
      </c>
      <c r="AV952" s="899">
        <f>IFERROR(INDEX(V952:AG952,1,MATCH(Parametres!$B$3,V$1:AG$1,0)-1)*IF(OR(C952="L",C952="S",C952="I"),-1,1),"")</f>
        <v>0</v>
      </c>
      <c r="AW952" s="899">
        <f t="shared" si="100"/>
        <v>0</v>
      </c>
      <c r="AX952" s="899">
        <f>INDEX(V952:AG952,1,MATCH(Parametres!$B$3,V$1:AG$1,0))*IF(OR(C952="L",C952="S",C952="I"),-1,1)</f>
        <v>0</v>
      </c>
      <c r="AY952" s="487" t="s">
        <v>337</v>
      </c>
      <c r="AZ952" s="487" t="e">
        <f>+VLOOKUP($AJ952,Data_Validation!$A:$E,5,0)</f>
        <v>#N/A</v>
      </c>
    </row>
    <row r="953" spans="36:52" ht="15" hidden="1" customHeight="1">
      <c r="AJ953" s="905">
        <f t="shared" si="95"/>
        <v>0</v>
      </c>
      <c r="AK953" s="905">
        <f t="shared" si="96"/>
        <v>0</v>
      </c>
      <c r="AL953" s="905">
        <f>IFERROR(INDEX(G953:R953,1,MATCH(Parametres!$B$3,G$1:R$1,0)-1)*IF(OR(F953="L",F953="S",F953="I"),-1,1),"")</f>
        <v>0</v>
      </c>
      <c r="AM953" s="905">
        <f t="shared" si="97"/>
        <v>0</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f t="shared" si="98"/>
        <v>0</v>
      </c>
      <c r="AU953" s="488">
        <f t="shared" si="99"/>
        <v>0</v>
      </c>
      <c r="AV953" s="899">
        <f>IFERROR(INDEX(V953:AG953,1,MATCH(Parametres!$B$3,V$1:AG$1,0)-1)*IF(OR(C953="L",C953="S",C953="I"),-1,1),"")</f>
        <v>0</v>
      </c>
      <c r="AW953" s="899">
        <f t="shared" si="100"/>
        <v>0</v>
      </c>
      <c r="AX953" s="899">
        <f>INDEX(V953:AG953,1,MATCH(Parametres!$B$3,V$1:AG$1,0))*IF(OR(C953="L",C953="S",C953="I"),-1,1)</f>
        <v>0</v>
      </c>
      <c r="AY953" s="487" t="s">
        <v>337</v>
      </c>
      <c r="AZ953" s="487" t="e">
        <f>+VLOOKUP($AJ953,Data_Validation!$A:$E,5,0)</f>
        <v>#N/A</v>
      </c>
    </row>
    <row r="954" spans="36:52" ht="15" hidden="1" customHeight="1">
      <c r="AJ954" s="905">
        <f t="shared" si="95"/>
        <v>0</v>
      </c>
      <c r="AK954" s="905">
        <f t="shared" si="96"/>
        <v>0</v>
      </c>
      <c r="AL954" s="905">
        <f>IFERROR(INDEX(G954:R954,1,MATCH(Parametres!$B$3,G$1:R$1,0)-1)*IF(OR(F954="L",F954="S",F954="I"),-1,1),"")</f>
        <v>0</v>
      </c>
      <c r="AM954" s="905">
        <f t="shared" si="97"/>
        <v>0</v>
      </c>
      <c r="AN954" s="905">
        <f>INDEX(G954:R954,1,MATCH(Parametres!$B$3,G$1:R$1,0))*IF(OR(F954="L",F954="S",F954="I"),-1,1)</f>
        <v>0</v>
      </c>
      <c r="AO954" s="487" t="e">
        <f>+VLOOKUP($AJ954,Data_Validation!$A:$D,1,0)</f>
        <v>#N/A</v>
      </c>
      <c r="AP954" s="487" t="e">
        <f>+VLOOKUP($AJ954,Data_Validation!$A:$D,3,0)</f>
        <v>#N/A</v>
      </c>
      <c r="AQ954" s="487" t="e">
        <f>+VLOOKUP($AJ954,Data_Validation!$A:$D,4,0)</f>
        <v>#N/A</v>
      </c>
      <c r="AR954" s="487" t="s">
        <v>299</v>
      </c>
      <c r="AS954" s="487" t="e">
        <f>+VLOOKUP($AJ954,Data_Validation!$A:$E,5,0)</f>
        <v>#N/A</v>
      </c>
      <c r="AT954" s="904">
        <f t="shared" si="98"/>
        <v>0</v>
      </c>
      <c r="AU954" s="488">
        <f t="shared" si="99"/>
        <v>0</v>
      </c>
      <c r="AV954" s="899">
        <f>IFERROR(INDEX(V954:AG954,1,MATCH(Parametres!$B$3,V$1:AG$1,0)-1)*IF(OR(C954="L",C954="S",C954="I"),-1,1),"")</f>
        <v>0</v>
      </c>
      <c r="AW954" s="899">
        <f t="shared" si="100"/>
        <v>0</v>
      </c>
      <c r="AX954" s="899">
        <f>INDEX(V954:AG954,1,MATCH(Parametres!$B$3,V$1:AG$1,0))*IF(OR(C954="L",C954="S",C954="I"),-1,1)</f>
        <v>0</v>
      </c>
      <c r="AY954" s="487" t="s">
        <v>337</v>
      </c>
      <c r="AZ954" s="487" t="e">
        <f>+VLOOKUP($AJ954,Data_Validation!$A:$E,5,0)</f>
        <v>#N/A</v>
      </c>
    </row>
    <row r="955" spans="36:52" ht="15" hidden="1" customHeight="1">
      <c r="AJ955" s="905">
        <f t="shared" si="95"/>
        <v>0</v>
      </c>
      <c r="AK955" s="905">
        <f t="shared" si="96"/>
        <v>0</v>
      </c>
      <c r="AL955" s="905">
        <f>IFERROR(INDEX(G955:R955,1,MATCH(Parametres!$B$3,G$1:R$1,0)-1)*IF(OR(F955="L",F955="S",F955="I"),-1,1),"")</f>
        <v>0</v>
      </c>
      <c r="AM955" s="905">
        <f t="shared" si="97"/>
        <v>0</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f t="shared" si="98"/>
        <v>0</v>
      </c>
      <c r="AU955" s="488">
        <f t="shared" si="99"/>
        <v>0</v>
      </c>
      <c r="AV955" s="899">
        <f>IFERROR(INDEX(V955:AG955,1,MATCH(Parametres!$B$3,V$1:AG$1,0)-1)*IF(OR(C955="L",C955="S",C955="I"),-1,1),"")</f>
        <v>0</v>
      </c>
      <c r="AW955" s="899">
        <f t="shared" si="100"/>
        <v>0</v>
      </c>
      <c r="AX955" s="899">
        <f>INDEX(V955:AG955,1,MATCH(Parametres!$B$3,V$1:AG$1,0))*IF(OR(C955="L",C955="S",C955="I"),-1,1)</f>
        <v>0</v>
      </c>
      <c r="AY955" s="487" t="s">
        <v>337</v>
      </c>
      <c r="AZ955" s="487" t="e">
        <f>+VLOOKUP($AJ955,Data_Validation!$A:$E,5,0)</f>
        <v>#N/A</v>
      </c>
    </row>
    <row r="956" spans="36:52" ht="15" hidden="1" customHeight="1">
      <c r="AJ956" s="905">
        <f t="shared" si="95"/>
        <v>0</v>
      </c>
      <c r="AK956" s="905">
        <f t="shared" si="96"/>
        <v>0</v>
      </c>
      <c r="AL956" s="905">
        <f>IFERROR(INDEX(G956:R956,1,MATCH(Parametres!$B$3,G$1:R$1,0)-1)*IF(OR(F956="L",F956="S",F956="I"),-1,1),"")</f>
        <v>0</v>
      </c>
      <c r="AM956" s="905">
        <f t="shared" si="97"/>
        <v>0</v>
      </c>
      <c r="AN956" s="905">
        <f>INDEX(G956:R956,1,MATCH(Parametres!$B$3,G$1:R$1,0))*IF(OR(F956="L",F956="S",F956="I"),-1,1)</f>
        <v>0</v>
      </c>
      <c r="AO956" s="487" t="e">
        <f>+VLOOKUP($AJ956,Data_Validation!$A:$D,1,0)</f>
        <v>#N/A</v>
      </c>
      <c r="AP956" s="487" t="e">
        <f>+VLOOKUP($AJ956,Data_Validation!$A:$D,3,0)</f>
        <v>#N/A</v>
      </c>
      <c r="AQ956" s="487" t="e">
        <f>+VLOOKUP($AJ956,Data_Validation!$A:$D,4,0)</f>
        <v>#N/A</v>
      </c>
      <c r="AR956" s="487" t="s">
        <v>299</v>
      </c>
      <c r="AS956" s="487" t="e">
        <f>+VLOOKUP($AJ956,Data_Validation!$A:$E,5,0)</f>
        <v>#N/A</v>
      </c>
      <c r="AT956" s="904">
        <f t="shared" si="98"/>
        <v>0</v>
      </c>
      <c r="AU956" s="488">
        <f t="shared" si="99"/>
        <v>0</v>
      </c>
      <c r="AV956" s="899">
        <f>IFERROR(INDEX(V956:AG956,1,MATCH(Parametres!$B$3,V$1:AG$1,0)-1)*IF(OR(C956="L",C956="S",C956="I"),-1,1),"")</f>
        <v>0</v>
      </c>
      <c r="AW956" s="899">
        <f t="shared" si="100"/>
        <v>0</v>
      </c>
      <c r="AX956" s="899">
        <f>INDEX(V956:AG956,1,MATCH(Parametres!$B$3,V$1:AG$1,0))*IF(OR(C956="L",C956="S",C956="I"),-1,1)</f>
        <v>0</v>
      </c>
      <c r="AY956" s="487" t="s">
        <v>337</v>
      </c>
      <c r="AZ956" s="487" t="e">
        <f>+VLOOKUP($AJ956,Data_Validation!$A:$E,5,0)</f>
        <v>#N/A</v>
      </c>
    </row>
    <row r="957" spans="36:52" ht="15" hidden="1" customHeight="1">
      <c r="AJ957" s="905">
        <f t="shared" si="95"/>
        <v>0</v>
      </c>
      <c r="AK957" s="905">
        <f t="shared" si="96"/>
        <v>0</v>
      </c>
      <c r="AL957" s="905">
        <f>IFERROR(INDEX(G957:R957,1,MATCH(Parametres!$B$3,G$1:R$1,0)-1)*IF(OR(F957="L",F957="S",F957="I"),-1,1),"")</f>
        <v>0</v>
      </c>
      <c r="AM957" s="905">
        <f t="shared" si="97"/>
        <v>0</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f t="shared" si="98"/>
        <v>0</v>
      </c>
      <c r="AU957" s="488">
        <f t="shared" si="99"/>
        <v>0</v>
      </c>
      <c r="AV957" s="899">
        <f>IFERROR(INDEX(V957:AG957,1,MATCH(Parametres!$B$3,V$1:AG$1,0)-1)*IF(OR(C957="L",C957="S",C957="I"),-1,1),"")</f>
        <v>0</v>
      </c>
      <c r="AW957" s="899">
        <f t="shared" si="100"/>
        <v>0</v>
      </c>
      <c r="AX957" s="899">
        <f>INDEX(V957:AG957,1,MATCH(Parametres!$B$3,V$1:AG$1,0))*IF(OR(C957="L",C957="S",C957="I"),-1,1)</f>
        <v>0</v>
      </c>
      <c r="AY957" s="487" t="s">
        <v>337</v>
      </c>
      <c r="AZ957" s="487" t="e">
        <f>+VLOOKUP($AJ957,Data_Validation!$A:$E,5,0)</f>
        <v>#N/A</v>
      </c>
    </row>
    <row r="958" spans="36:52" ht="15" hidden="1" customHeight="1">
      <c r="AJ958" s="905">
        <f t="shared" si="95"/>
        <v>0</v>
      </c>
      <c r="AK958" s="905">
        <f t="shared" si="96"/>
        <v>0</v>
      </c>
      <c r="AL958" s="905">
        <f>IFERROR(INDEX(G958:R958,1,MATCH(Parametres!$B$3,G$1:R$1,0)-1)*IF(OR(F958="L",F958="S",F958="I"),-1,1),"")</f>
        <v>0</v>
      </c>
      <c r="AM958" s="905">
        <f t="shared" si="97"/>
        <v>0</v>
      </c>
      <c r="AN958" s="905">
        <f>INDEX(G958:R958,1,MATCH(Parametres!$B$3,G$1:R$1,0))*IF(OR(F958="L",F958="S",F958="I"),-1,1)</f>
        <v>0</v>
      </c>
      <c r="AO958" s="487" t="e">
        <f>+VLOOKUP($AJ958,Data_Validation!$A:$D,1,0)</f>
        <v>#N/A</v>
      </c>
      <c r="AP958" s="487" t="e">
        <f>+VLOOKUP($AJ958,Data_Validation!$A:$D,3,0)</f>
        <v>#N/A</v>
      </c>
      <c r="AQ958" s="487" t="e">
        <f>+VLOOKUP($AJ958,Data_Validation!$A:$D,4,0)</f>
        <v>#N/A</v>
      </c>
      <c r="AR958" s="487" t="s">
        <v>299</v>
      </c>
      <c r="AS958" s="487" t="e">
        <f>+VLOOKUP($AJ958,Data_Validation!$A:$E,5,0)</f>
        <v>#N/A</v>
      </c>
      <c r="AT958" s="904">
        <f t="shared" si="98"/>
        <v>0</v>
      </c>
      <c r="AU958" s="488">
        <f t="shared" si="99"/>
        <v>0</v>
      </c>
      <c r="AV958" s="899">
        <f>IFERROR(INDEX(V958:AG958,1,MATCH(Parametres!$B$3,V$1:AG$1,0)-1)*IF(OR(C958="L",C958="S",C958="I"),-1,1),"")</f>
        <v>0</v>
      </c>
      <c r="AW958" s="899">
        <f t="shared" si="100"/>
        <v>0</v>
      </c>
      <c r="AX958" s="899">
        <f>INDEX(V958:AG958,1,MATCH(Parametres!$B$3,V$1:AG$1,0))*IF(OR(C958="L",C958="S",C958="I"),-1,1)</f>
        <v>0</v>
      </c>
      <c r="AY958" s="487" t="s">
        <v>337</v>
      </c>
      <c r="AZ958" s="487" t="e">
        <f>+VLOOKUP($AJ958,Data_Validation!$A:$E,5,0)</f>
        <v>#N/A</v>
      </c>
    </row>
    <row r="959" spans="36:52" ht="15" hidden="1" customHeight="1">
      <c r="AJ959" s="905">
        <f t="shared" si="95"/>
        <v>0</v>
      </c>
      <c r="AK959" s="905">
        <f t="shared" si="96"/>
        <v>0</v>
      </c>
      <c r="AL959" s="905">
        <f>IFERROR(INDEX(G959:R959,1,MATCH(Parametres!$B$3,G$1:R$1,0)-1)*IF(OR(F959="L",F959="S",F959="I"),-1,1),"")</f>
        <v>0</v>
      </c>
      <c r="AM959" s="905">
        <f t="shared" si="97"/>
        <v>0</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f t="shared" si="98"/>
        <v>0</v>
      </c>
      <c r="AU959" s="488">
        <f t="shared" si="99"/>
        <v>0</v>
      </c>
      <c r="AV959" s="899">
        <f>IFERROR(INDEX(V959:AG959,1,MATCH(Parametres!$B$3,V$1:AG$1,0)-1)*IF(OR(C959="L",C959="S",C959="I"),-1,1),"")</f>
        <v>0</v>
      </c>
      <c r="AW959" s="899">
        <f t="shared" si="100"/>
        <v>0</v>
      </c>
      <c r="AX959" s="899">
        <f>INDEX(V959:AG959,1,MATCH(Parametres!$B$3,V$1:AG$1,0))*IF(OR(C959="L",C959="S",C959="I"),-1,1)</f>
        <v>0</v>
      </c>
      <c r="AY959" s="487" t="s">
        <v>337</v>
      </c>
      <c r="AZ959" s="487" t="e">
        <f>+VLOOKUP($AJ959,Data_Validation!$A:$E,5,0)</f>
        <v>#N/A</v>
      </c>
    </row>
    <row r="960" spans="36:52" ht="15" hidden="1" customHeight="1">
      <c r="AJ960" s="905">
        <f t="shared" si="95"/>
        <v>0</v>
      </c>
      <c r="AK960" s="905">
        <f t="shared" si="96"/>
        <v>0</v>
      </c>
      <c r="AL960" s="905">
        <f>IFERROR(INDEX(G960:R960,1,MATCH(Parametres!$B$3,G$1:R$1,0)-1)*IF(OR(F960="L",F960="S",F960="I"),-1,1),"")</f>
        <v>0</v>
      </c>
      <c r="AM960" s="905">
        <f t="shared" si="97"/>
        <v>0</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f t="shared" si="98"/>
        <v>0</v>
      </c>
      <c r="AU960" s="488">
        <f t="shared" si="99"/>
        <v>0</v>
      </c>
      <c r="AV960" s="899">
        <f>IFERROR(INDEX(V960:AG960,1,MATCH(Parametres!$B$3,V$1:AG$1,0)-1)*IF(OR(C960="L",C960="S",C960="I"),-1,1),"")</f>
        <v>0</v>
      </c>
      <c r="AW960" s="899">
        <f t="shared" si="100"/>
        <v>0</v>
      </c>
      <c r="AX960" s="899">
        <f>INDEX(V960:AG960,1,MATCH(Parametres!$B$3,V$1:AG$1,0))*IF(OR(C960="L",C960="S",C960="I"),-1,1)</f>
        <v>0</v>
      </c>
      <c r="AY960" s="487" t="s">
        <v>337</v>
      </c>
      <c r="AZ960" s="487" t="e">
        <f>+VLOOKUP($AJ960,Data_Validation!$A:$E,5,0)</f>
        <v>#N/A</v>
      </c>
    </row>
    <row r="961" spans="36:52" ht="15" hidden="1" customHeight="1">
      <c r="AJ961" s="905">
        <f t="shared" si="95"/>
        <v>0</v>
      </c>
      <c r="AK961" s="905">
        <f t="shared" si="96"/>
        <v>0</v>
      </c>
      <c r="AL961" s="905">
        <f>IFERROR(INDEX(G961:R961,1,MATCH(Parametres!$B$3,G$1:R$1,0)-1)*IF(OR(F961="L",F961="S",F961="I"),-1,1),"")</f>
        <v>0</v>
      </c>
      <c r="AM961" s="905">
        <f t="shared" si="97"/>
        <v>0</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f t="shared" si="98"/>
        <v>0</v>
      </c>
      <c r="AU961" s="488">
        <f t="shared" si="99"/>
        <v>0</v>
      </c>
      <c r="AV961" s="899">
        <f>IFERROR(INDEX(V961:AG961,1,MATCH(Parametres!$B$3,V$1:AG$1,0)-1)*IF(OR(C961="L",C961="S",C961="I"),-1,1),"")</f>
        <v>0</v>
      </c>
      <c r="AW961" s="899">
        <f t="shared" si="100"/>
        <v>0</v>
      </c>
      <c r="AX961" s="899">
        <f>INDEX(V961:AG961,1,MATCH(Parametres!$B$3,V$1:AG$1,0))*IF(OR(C961="L",C961="S",C961="I"),-1,1)</f>
        <v>0</v>
      </c>
      <c r="AY961" s="487" t="s">
        <v>337</v>
      </c>
      <c r="AZ961" s="487" t="e">
        <f>+VLOOKUP($AJ961,Data_Validation!$A:$E,5,0)</f>
        <v>#N/A</v>
      </c>
    </row>
    <row r="962" spans="36:52" ht="15" hidden="1" customHeight="1">
      <c r="AJ962" s="905">
        <f t="shared" si="95"/>
        <v>0</v>
      </c>
      <c r="AK962" s="905">
        <f t="shared" si="96"/>
        <v>0</v>
      </c>
      <c r="AL962" s="905">
        <f>IFERROR(INDEX(G962:R962,1,MATCH(Parametres!$B$3,G$1:R$1,0)-1)*IF(OR(F962="L",F962="S",F962="I"),-1,1),"")</f>
        <v>0</v>
      </c>
      <c r="AM962" s="905">
        <f t="shared" si="97"/>
        <v>0</v>
      </c>
      <c r="AN962" s="905">
        <f>INDEX(G962:R962,1,MATCH(Parametres!$B$3,G$1:R$1,0))*IF(OR(F962="L",F962="S",F962="I"),-1,1)</f>
        <v>0</v>
      </c>
      <c r="AO962" s="487" t="e">
        <f>+VLOOKUP($AJ962,Data_Validation!$A:$D,1,0)</f>
        <v>#N/A</v>
      </c>
      <c r="AP962" s="487" t="e">
        <f>+VLOOKUP($AJ962,Data_Validation!$A:$D,3,0)</f>
        <v>#N/A</v>
      </c>
      <c r="AQ962" s="487" t="e">
        <f>+VLOOKUP($AJ962,Data_Validation!$A:$D,4,0)</f>
        <v>#N/A</v>
      </c>
      <c r="AR962" s="487" t="s">
        <v>299</v>
      </c>
      <c r="AS962" s="487" t="e">
        <f>+VLOOKUP($AJ962,Data_Validation!$A:$E,5,0)</f>
        <v>#N/A</v>
      </c>
      <c r="AT962" s="904">
        <f t="shared" si="98"/>
        <v>0</v>
      </c>
      <c r="AU962" s="488">
        <f t="shared" si="99"/>
        <v>0</v>
      </c>
      <c r="AV962" s="899">
        <f>IFERROR(INDEX(V962:AG962,1,MATCH(Parametres!$B$3,V$1:AG$1,0)-1)*IF(OR(C962="L",C962="S",C962="I"),-1,1),"")</f>
        <v>0</v>
      </c>
      <c r="AW962" s="899">
        <f t="shared" si="100"/>
        <v>0</v>
      </c>
      <c r="AX962" s="899">
        <f>INDEX(V962:AG962,1,MATCH(Parametres!$B$3,V$1:AG$1,0))*IF(OR(C962="L",C962="S",C962="I"),-1,1)</f>
        <v>0</v>
      </c>
      <c r="AY962" s="487" t="s">
        <v>337</v>
      </c>
      <c r="AZ962" s="487" t="e">
        <f>+VLOOKUP($AJ962,Data_Validation!$A:$E,5,0)</f>
        <v>#N/A</v>
      </c>
    </row>
    <row r="963" spans="36:52" ht="15" hidden="1" customHeight="1">
      <c r="AJ963" s="905">
        <f t="shared" si="95"/>
        <v>0</v>
      </c>
      <c r="AK963" s="905">
        <f t="shared" si="96"/>
        <v>0</v>
      </c>
      <c r="AL963" s="905">
        <f>IFERROR(INDEX(G963:R963,1,MATCH(Parametres!$B$3,G$1:R$1,0)-1)*IF(OR(F963="L",F963="S",F963="I"),-1,1),"")</f>
        <v>0</v>
      </c>
      <c r="AM963" s="905">
        <f t="shared" si="97"/>
        <v>0</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f t="shared" si="98"/>
        <v>0</v>
      </c>
      <c r="AU963" s="488">
        <f t="shared" si="99"/>
        <v>0</v>
      </c>
      <c r="AV963" s="899">
        <f>IFERROR(INDEX(V963:AG963,1,MATCH(Parametres!$B$3,V$1:AG$1,0)-1)*IF(OR(C963="L",C963="S",C963="I"),-1,1),"")</f>
        <v>0</v>
      </c>
      <c r="AW963" s="899">
        <f t="shared" si="100"/>
        <v>0</v>
      </c>
      <c r="AX963" s="899">
        <f>INDEX(V963:AG963,1,MATCH(Parametres!$B$3,V$1:AG$1,0))*IF(OR(C963="L",C963="S",C963="I"),-1,1)</f>
        <v>0</v>
      </c>
      <c r="AY963" s="487" t="s">
        <v>337</v>
      </c>
      <c r="AZ963" s="487" t="e">
        <f>+VLOOKUP($AJ963,Data_Validation!$A:$E,5,0)</f>
        <v>#N/A</v>
      </c>
    </row>
    <row r="964" spans="36:52" ht="15" hidden="1" customHeight="1">
      <c r="AJ964" s="905">
        <f t="shared" si="95"/>
        <v>0</v>
      </c>
      <c r="AK964" s="905">
        <f t="shared" si="96"/>
        <v>0</v>
      </c>
      <c r="AL964" s="905">
        <f>IFERROR(INDEX(G964:R964,1,MATCH(Parametres!$B$3,G$1:R$1,0)-1)*IF(OR(F964="L",F964="S",F964="I"),-1,1),"")</f>
        <v>0</v>
      </c>
      <c r="AM964" s="905">
        <f t="shared" si="97"/>
        <v>0</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f t="shared" si="98"/>
        <v>0</v>
      </c>
      <c r="AU964" s="488">
        <f t="shared" si="99"/>
        <v>0</v>
      </c>
      <c r="AV964" s="899">
        <f>IFERROR(INDEX(V964:AG964,1,MATCH(Parametres!$B$3,V$1:AG$1,0)-1)*IF(OR(C964="L",C964="S",C964="I"),-1,1),"")</f>
        <v>0</v>
      </c>
      <c r="AW964" s="899">
        <f t="shared" si="100"/>
        <v>0</v>
      </c>
      <c r="AX964" s="899">
        <f>INDEX(V964:AG964,1,MATCH(Parametres!$B$3,V$1:AG$1,0))*IF(OR(C964="L",C964="S",C964="I"),-1,1)</f>
        <v>0</v>
      </c>
      <c r="AY964" s="487" t="s">
        <v>337</v>
      </c>
      <c r="AZ964" s="487" t="e">
        <f>+VLOOKUP($AJ964,Data_Validation!$A:$E,5,0)</f>
        <v>#N/A</v>
      </c>
    </row>
    <row r="965" spans="36:52" ht="15" hidden="1" customHeight="1">
      <c r="AJ965" s="905">
        <f t="shared" si="95"/>
        <v>0</v>
      </c>
      <c r="AK965" s="905">
        <f t="shared" si="96"/>
        <v>0</v>
      </c>
      <c r="AL965" s="905">
        <f>IFERROR(INDEX(G965:R965,1,MATCH(Parametres!$B$3,G$1:R$1,0)-1)*IF(OR(F965="L",F965="S",F965="I"),-1,1),"")</f>
        <v>0</v>
      </c>
      <c r="AM965" s="905">
        <f t="shared" si="97"/>
        <v>0</v>
      </c>
      <c r="AN965" s="905">
        <f>INDEX(G965:R965,1,MATCH(Parametres!$B$3,G$1:R$1,0))*IF(OR(F965="L",F965="S",F965="I"),-1,1)</f>
        <v>0</v>
      </c>
      <c r="AO965" s="487" t="e">
        <f>+VLOOKUP($AJ965,Data_Validation!$A:$D,1,0)</f>
        <v>#N/A</v>
      </c>
      <c r="AP965" s="487" t="e">
        <f>+VLOOKUP($AJ965,Data_Validation!$A:$D,3,0)</f>
        <v>#N/A</v>
      </c>
      <c r="AQ965" s="487" t="e">
        <f>+VLOOKUP($AJ965,Data_Validation!$A:$D,4,0)</f>
        <v>#N/A</v>
      </c>
      <c r="AR965" s="487" t="s">
        <v>299</v>
      </c>
      <c r="AS965" s="487" t="e">
        <f>+VLOOKUP($AJ965,Data_Validation!$A:$E,5,0)</f>
        <v>#N/A</v>
      </c>
      <c r="AT965" s="904">
        <f t="shared" si="98"/>
        <v>0</v>
      </c>
      <c r="AU965" s="488">
        <f t="shared" si="99"/>
        <v>0</v>
      </c>
      <c r="AV965" s="899">
        <f>IFERROR(INDEX(V965:AG965,1,MATCH(Parametres!$B$3,V$1:AG$1,0)-1)*IF(OR(C965="L",C965="S",C965="I"),-1,1),"")</f>
        <v>0</v>
      </c>
      <c r="AW965" s="899">
        <f t="shared" si="100"/>
        <v>0</v>
      </c>
      <c r="AX965" s="899">
        <f>INDEX(V965:AG965,1,MATCH(Parametres!$B$3,V$1:AG$1,0))*IF(OR(C965="L",C965="S",C965="I"),-1,1)</f>
        <v>0</v>
      </c>
      <c r="AY965" s="487" t="s">
        <v>337</v>
      </c>
      <c r="AZ965" s="487" t="e">
        <f>+VLOOKUP($AJ965,Data_Validation!$A:$E,5,0)</f>
        <v>#N/A</v>
      </c>
    </row>
    <row r="966" spans="36:52" ht="15" hidden="1" customHeight="1">
      <c r="AJ966" s="905">
        <f t="shared" si="95"/>
        <v>0</v>
      </c>
      <c r="AK966" s="905">
        <f t="shared" si="96"/>
        <v>0</v>
      </c>
      <c r="AL966" s="905">
        <f>IFERROR(INDEX(G966:R966,1,MATCH(Parametres!$B$3,G$1:R$1,0)-1)*IF(OR(F966="L",F966="S",F966="I"),-1,1),"")</f>
        <v>0</v>
      </c>
      <c r="AM966" s="905">
        <f t="shared" si="97"/>
        <v>0</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f t="shared" si="98"/>
        <v>0</v>
      </c>
      <c r="AU966" s="488">
        <f t="shared" si="99"/>
        <v>0</v>
      </c>
      <c r="AV966" s="899">
        <f>IFERROR(INDEX(V966:AG966,1,MATCH(Parametres!$B$3,V$1:AG$1,0)-1)*IF(OR(C966="L",C966="S",C966="I"),-1,1),"")</f>
        <v>0</v>
      </c>
      <c r="AW966" s="899">
        <f t="shared" si="100"/>
        <v>0</v>
      </c>
      <c r="AX966" s="899">
        <f>INDEX(V966:AG966,1,MATCH(Parametres!$B$3,V$1:AG$1,0))*IF(OR(C966="L",C966="S",C966="I"),-1,1)</f>
        <v>0</v>
      </c>
      <c r="AY966" s="487" t="s">
        <v>337</v>
      </c>
      <c r="AZ966" s="487" t="e">
        <f>+VLOOKUP($AJ966,Data_Validation!$A:$E,5,0)</f>
        <v>#N/A</v>
      </c>
    </row>
    <row r="967" spans="36:52" ht="15" hidden="1" customHeight="1">
      <c r="AJ967" s="905">
        <f t="shared" si="95"/>
        <v>0</v>
      </c>
      <c r="AK967" s="905">
        <f t="shared" si="96"/>
        <v>0</v>
      </c>
      <c r="AL967" s="905">
        <f>IFERROR(INDEX(G967:R967,1,MATCH(Parametres!$B$3,G$1:R$1,0)-1)*IF(OR(F967="L",F967="S",F967="I"),-1,1),"")</f>
        <v>0</v>
      </c>
      <c r="AM967" s="905">
        <f t="shared" si="97"/>
        <v>0</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f t="shared" si="98"/>
        <v>0</v>
      </c>
      <c r="AU967" s="488">
        <f t="shared" si="99"/>
        <v>0</v>
      </c>
      <c r="AV967" s="899">
        <f>IFERROR(INDEX(V967:AG967,1,MATCH(Parametres!$B$3,V$1:AG$1,0)-1)*IF(OR(C967="L",C967="S",C967="I"),-1,1),"")</f>
        <v>0</v>
      </c>
      <c r="AW967" s="899">
        <f t="shared" si="100"/>
        <v>0</v>
      </c>
      <c r="AX967" s="899">
        <f>INDEX(V967:AG967,1,MATCH(Parametres!$B$3,V$1:AG$1,0))*IF(OR(C967="L",C967="S",C967="I"),-1,1)</f>
        <v>0</v>
      </c>
      <c r="AY967" s="487" t="s">
        <v>337</v>
      </c>
      <c r="AZ967" s="487" t="e">
        <f>+VLOOKUP($AJ967,Data_Validation!$A:$E,5,0)</f>
        <v>#N/A</v>
      </c>
    </row>
    <row r="968" spans="36:52" ht="15" hidden="1" customHeight="1">
      <c r="AJ968" s="905">
        <f t="shared" si="95"/>
        <v>0</v>
      </c>
      <c r="AK968" s="905">
        <f t="shared" si="96"/>
        <v>0</v>
      </c>
      <c r="AL968" s="905">
        <f>IFERROR(INDEX(G968:R968,1,MATCH(Parametres!$B$3,G$1:R$1,0)-1)*IF(OR(F968="L",F968="S",F968="I"),-1,1),"")</f>
        <v>0</v>
      </c>
      <c r="AM968" s="905">
        <f t="shared" si="97"/>
        <v>0</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f t="shared" si="98"/>
        <v>0</v>
      </c>
      <c r="AU968" s="488">
        <f t="shared" si="99"/>
        <v>0</v>
      </c>
      <c r="AV968" s="899">
        <f>IFERROR(INDEX(V968:AG968,1,MATCH(Parametres!$B$3,V$1:AG$1,0)-1)*IF(OR(C968="L",C968="S",C968="I"),-1,1),"")</f>
        <v>0</v>
      </c>
      <c r="AW968" s="899">
        <f t="shared" si="100"/>
        <v>0</v>
      </c>
      <c r="AX968" s="899">
        <f>INDEX(V968:AG968,1,MATCH(Parametres!$B$3,V$1:AG$1,0))*IF(OR(C968="L",C968="S",C968="I"),-1,1)</f>
        <v>0</v>
      </c>
      <c r="AY968" s="487" t="s">
        <v>337</v>
      </c>
      <c r="AZ968" s="487" t="e">
        <f>+VLOOKUP($AJ968,Data_Validation!$A:$E,5,0)</f>
        <v>#N/A</v>
      </c>
    </row>
    <row r="969" spans="36:52" ht="15" hidden="1" customHeight="1">
      <c r="AJ969" s="905">
        <f t="shared" si="95"/>
        <v>0</v>
      </c>
      <c r="AK969" s="905">
        <f t="shared" si="96"/>
        <v>0</v>
      </c>
      <c r="AL969" s="905">
        <f>IFERROR(INDEX(G969:R969,1,MATCH(Parametres!$B$3,G$1:R$1,0)-1)*IF(OR(F969="L",F969="S",F969="I"),-1,1),"")</f>
        <v>0</v>
      </c>
      <c r="AM969" s="905">
        <f t="shared" si="97"/>
        <v>0</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f t="shared" si="98"/>
        <v>0</v>
      </c>
      <c r="AU969" s="488">
        <f t="shared" si="99"/>
        <v>0</v>
      </c>
      <c r="AV969" s="899">
        <f>IFERROR(INDEX(V969:AG969,1,MATCH(Parametres!$B$3,V$1:AG$1,0)-1)*IF(OR(C969="L",C969="S",C969="I"),-1,1),"")</f>
        <v>0</v>
      </c>
      <c r="AW969" s="899">
        <f t="shared" si="100"/>
        <v>0</v>
      </c>
      <c r="AX969" s="899">
        <f>INDEX(V969:AG969,1,MATCH(Parametres!$B$3,V$1:AG$1,0))*IF(OR(C969="L",C969="S",C969="I"),-1,1)</f>
        <v>0</v>
      </c>
      <c r="AY969" s="487" t="s">
        <v>337</v>
      </c>
      <c r="AZ969" s="487" t="e">
        <f>+VLOOKUP($AJ969,Data_Validation!$A:$E,5,0)</f>
        <v>#N/A</v>
      </c>
    </row>
    <row r="970" spans="36:52" ht="15" hidden="1" customHeight="1">
      <c r="AJ970" s="905">
        <f t="shared" si="95"/>
        <v>0</v>
      </c>
      <c r="AK970" s="905">
        <f t="shared" si="96"/>
        <v>0</v>
      </c>
      <c r="AL970" s="905">
        <f>IFERROR(INDEX(G970:R970,1,MATCH(Parametres!$B$3,G$1:R$1,0)-1)*IF(OR(F970="L",F970="S",F970="I"),-1,1),"")</f>
        <v>0</v>
      </c>
      <c r="AM970" s="905">
        <f t="shared" si="97"/>
        <v>0</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f t="shared" si="98"/>
        <v>0</v>
      </c>
      <c r="AU970" s="488">
        <f t="shared" si="99"/>
        <v>0</v>
      </c>
      <c r="AV970" s="899">
        <f>IFERROR(INDEX(V970:AG970,1,MATCH(Parametres!$B$3,V$1:AG$1,0)-1)*IF(OR(C970="L",C970="S",C970="I"),-1,1),"")</f>
        <v>0</v>
      </c>
      <c r="AW970" s="899">
        <f t="shared" si="100"/>
        <v>0</v>
      </c>
      <c r="AX970" s="899">
        <f>INDEX(V970:AG970,1,MATCH(Parametres!$B$3,V$1:AG$1,0))*IF(OR(C970="L",C970="S",C970="I"),-1,1)</f>
        <v>0</v>
      </c>
      <c r="AY970" s="487" t="s">
        <v>337</v>
      </c>
      <c r="AZ970" s="487" t="e">
        <f>+VLOOKUP($AJ970,Data_Validation!$A:$E,5,0)</f>
        <v>#N/A</v>
      </c>
    </row>
    <row r="971" spans="36:52" ht="15" hidden="1" customHeight="1">
      <c r="AJ971" s="905">
        <f t="shared" si="95"/>
        <v>0</v>
      </c>
      <c r="AK971" s="905">
        <f t="shared" si="96"/>
        <v>0</v>
      </c>
      <c r="AL971" s="905">
        <f>IFERROR(INDEX(G971:R971,1,MATCH(Parametres!$B$3,G$1:R$1,0)-1)*IF(OR(F971="L",F971="S",F971="I"),-1,1),"")</f>
        <v>0</v>
      </c>
      <c r="AM971" s="905">
        <f t="shared" si="97"/>
        <v>0</v>
      </c>
      <c r="AN971" s="905">
        <f>INDEX(G971:R971,1,MATCH(Parametres!$B$3,G$1:R$1,0))*IF(OR(F971="L",F971="S",F971="I"),-1,1)</f>
        <v>0</v>
      </c>
      <c r="AO971" s="487" t="e">
        <f>+VLOOKUP($AJ971,Data_Validation!$A:$D,1,0)</f>
        <v>#N/A</v>
      </c>
      <c r="AP971" s="487" t="e">
        <f>+VLOOKUP($AJ971,Data_Validation!$A:$D,3,0)</f>
        <v>#N/A</v>
      </c>
      <c r="AQ971" s="487" t="e">
        <f>+VLOOKUP($AJ971,Data_Validation!$A:$D,4,0)</f>
        <v>#N/A</v>
      </c>
      <c r="AR971" s="487" t="s">
        <v>299</v>
      </c>
      <c r="AS971" s="487" t="e">
        <f>+VLOOKUP($AJ971,Data_Validation!$A:$E,5,0)</f>
        <v>#N/A</v>
      </c>
      <c r="AT971" s="904">
        <f t="shared" si="98"/>
        <v>0</v>
      </c>
      <c r="AU971" s="488">
        <f t="shared" si="99"/>
        <v>0</v>
      </c>
      <c r="AV971" s="899">
        <f>IFERROR(INDEX(V971:AG971,1,MATCH(Parametres!$B$3,V$1:AG$1,0)-1)*IF(OR(C971="L",C971="S",C971="I"),-1,1),"")</f>
        <v>0</v>
      </c>
      <c r="AW971" s="899">
        <f t="shared" si="100"/>
        <v>0</v>
      </c>
      <c r="AX971" s="899">
        <f>INDEX(V971:AG971,1,MATCH(Parametres!$B$3,V$1:AG$1,0))*IF(OR(C971="L",C971="S",C971="I"),-1,1)</f>
        <v>0</v>
      </c>
      <c r="AY971" s="487" t="s">
        <v>337</v>
      </c>
      <c r="AZ971" s="487" t="e">
        <f>+VLOOKUP($AJ971,Data_Validation!$A:$E,5,0)</f>
        <v>#N/A</v>
      </c>
    </row>
    <row r="972" spans="36:52" ht="15" hidden="1" customHeight="1">
      <c r="AJ972" s="905">
        <f t="shared" si="95"/>
        <v>0</v>
      </c>
      <c r="AK972" s="905">
        <f t="shared" si="96"/>
        <v>0</v>
      </c>
      <c r="AL972" s="905">
        <f>IFERROR(INDEX(G972:R972,1,MATCH(Parametres!$B$3,G$1:R$1,0)-1)*IF(OR(F972="L",F972="S",F972="I"),-1,1),"")</f>
        <v>0</v>
      </c>
      <c r="AM972" s="905">
        <f t="shared" si="97"/>
        <v>0</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f t="shared" si="98"/>
        <v>0</v>
      </c>
      <c r="AU972" s="488">
        <f t="shared" si="99"/>
        <v>0</v>
      </c>
      <c r="AV972" s="899">
        <f>IFERROR(INDEX(V972:AG972,1,MATCH(Parametres!$B$3,V$1:AG$1,0)-1)*IF(OR(C972="L",C972="S",C972="I"),-1,1),"")</f>
        <v>0</v>
      </c>
      <c r="AW972" s="899">
        <f t="shared" si="100"/>
        <v>0</v>
      </c>
      <c r="AX972" s="899">
        <f>INDEX(V972:AG972,1,MATCH(Parametres!$B$3,V$1:AG$1,0))*IF(OR(C972="L",C972="S",C972="I"),-1,1)</f>
        <v>0</v>
      </c>
      <c r="AY972" s="487" t="s">
        <v>337</v>
      </c>
      <c r="AZ972" s="487" t="e">
        <f>+VLOOKUP($AJ972,Data_Validation!$A:$E,5,0)</f>
        <v>#N/A</v>
      </c>
    </row>
    <row r="973" spans="36:52" ht="15" hidden="1" customHeight="1">
      <c r="AJ973" s="905">
        <f t="shared" si="95"/>
        <v>0</v>
      </c>
      <c r="AK973" s="905">
        <f t="shared" si="96"/>
        <v>0</v>
      </c>
      <c r="AL973" s="905">
        <f>IFERROR(INDEX(G973:R973,1,MATCH(Parametres!$B$3,G$1:R$1,0)-1)*IF(OR(F973="L",F973="S",F973="I"),-1,1),"")</f>
        <v>0</v>
      </c>
      <c r="AM973" s="905">
        <f t="shared" si="97"/>
        <v>0</v>
      </c>
      <c r="AN973" s="905">
        <f>INDEX(G973:R973,1,MATCH(Parametres!$B$3,G$1:R$1,0))*IF(OR(F973="L",F973="S",F973="I"),-1,1)</f>
        <v>0</v>
      </c>
      <c r="AO973" s="487" t="e">
        <f>+VLOOKUP($AJ973,Data_Validation!$A:$D,1,0)</f>
        <v>#N/A</v>
      </c>
      <c r="AP973" s="487" t="e">
        <f>+VLOOKUP($AJ973,Data_Validation!$A:$D,3,0)</f>
        <v>#N/A</v>
      </c>
      <c r="AQ973" s="487" t="e">
        <f>+VLOOKUP($AJ973,Data_Validation!$A:$D,4,0)</f>
        <v>#N/A</v>
      </c>
      <c r="AR973" s="487" t="s">
        <v>299</v>
      </c>
      <c r="AS973" s="487" t="e">
        <f>+VLOOKUP($AJ973,Data_Validation!$A:$E,5,0)</f>
        <v>#N/A</v>
      </c>
      <c r="AT973" s="904">
        <f t="shared" si="98"/>
        <v>0</v>
      </c>
      <c r="AU973" s="488">
        <f t="shared" si="99"/>
        <v>0</v>
      </c>
      <c r="AV973" s="899">
        <f>IFERROR(INDEX(V973:AG973,1,MATCH(Parametres!$B$3,V$1:AG$1,0)-1)*IF(OR(C973="L",C973="S",C973="I"),-1,1),"")</f>
        <v>0</v>
      </c>
      <c r="AW973" s="899">
        <f t="shared" si="100"/>
        <v>0</v>
      </c>
      <c r="AX973" s="899">
        <f>INDEX(V973:AG973,1,MATCH(Parametres!$B$3,V$1:AG$1,0))*IF(OR(C973="L",C973="S",C973="I"),-1,1)</f>
        <v>0</v>
      </c>
      <c r="AY973" s="487" t="s">
        <v>337</v>
      </c>
      <c r="AZ973" s="487" t="e">
        <f>+VLOOKUP($AJ973,Data_Validation!$A:$E,5,0)</f>
        <v>#N/A</v>
      </c>
    </row>
    <row r="974" spans="36:52" ht="15" hidden="1" customHeight="1">
      <c r="AJ974" s="905">
        <f t="shared" si="95"/>
        <v>0</v>
      </c>
      <c r="AK974" s="905">
        <f t="shared" si="96"/>
        <v>0</v>
      </c>
      <c r="AL974" s="905">
        <f>IFERROR(INDEX(G974:R974,1,MATCH(Parametres!$B$3,G$1:R$1,0)-1)*IF(OR(F974="L",F974="S",F974="I"),-1,1),"")</f>
        <v>0</v>
      </c>
      <c r="AM974" s="905">
        <f t="shared" si="97"/>
        <v>0</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f t="shared" si="98"/>
        <v>0</v>
      </c>
      <c r="AU974" s="488">
        <f t="shared" si="99"/>
        <v>0</v>
      </c>
      <c r="AV974" s="899">
        <f>IFERROR(INDEX(V974:AG974,1,MATCH(Parametres!$B$3,V$1:AG$1,0)-1)*IF(OR(C974="L",C974="S",C974="I"),-1,1),"")</f>
        <v>0</v>
      </c>
      <c r="AW974" s="899">
        <f t="shared" si="100"/>
        <v>0</v>
      </c>
      <c r="AX974" s="899">
        <f>INDEX(V974:AG974,1,MATCH(Parametres!$B$3,V$1:AG$1,0))*IF(OR(C974="L",C974="S",C974="I"),-1,1)</f>
        <v>0</v>
      </c>
      <c r="AY974" s="487" t="s">
        <v>337</v>
      </c>
      <c r="AZ974" s="487" t="e">
        <f>+VLOOKUP($AJ974,Data_Validation!$A:$E,5,0)</f>
        <v>#N/A</v>
      </c>
    </row>
    <row r="975" spans="36:52" ht="15" hidden="1" customHeight="1">
      <c r="AJ975" s="905">
        <f t="shared" si="95"/>
        <v>0</v>
      </c>
      <c r="AK975" s="905">
        <f t="shared" si="96"/>
        <v>0</v>
      </c>
      <c r="AL975" s="905">
        <f>IFERROR(INDEX(G975:R975,1,MATCH(Parametres!$B$3,G$1:R$1,0)-1)*IF(OR(F975="L",F975="S",F975="I"),-1,1),"")</f>
        <v>0</v>
      </c>
      <c r="AM975" s="905">
        <f t="shared" si="97"/>
        <v>0</v>
      </c>
      <c r="AN975" s="905">
        <f>INDEX(G975:R975,1,MATCH(Parametres!$B$3,G$1:R$1,0))*IF(OR(F975="L",F975="S",F975="I"),-1,1)</f>
        <v>0</v>
      </c>
      <c r="AO975" s="487" t="e">
        <f>+VLOOKUP($AJ975,Data_Validation!$A:$D,1,0)</f>
        <v>#N/A</v>
      </c>
      <c r="AP975" s="487" t="e">
        <f>+VLOOKUP($AJ975,Data_Validation!$A:$D,3,0)</f>
        <v>#N/A</v>
      </c>
      <c r="AQ975" s="487" t="e">
        <f>+VLOOKUP($AJ975,Data_Validation!$A:$D,4,0)</f>
        <v>#N/A</v>
      </c>
      <c r="AR975" s="487" t="s">
        <v>299</v>
      </c>
      <c r="AS975" s="487" t="e">
        <f>+VLOOKUP($AJ975,Data_Validation!$A:$E,5,0)</f>
        <v>#N/A</v>
      </c>
      <c r="AT975" s="904">
        <f t="shared" si="98"/>
        <v>0</v>
      </c>
      <c r="AU975" s="488">
        <f t="shared" si="99"/>
        <v>0</v>
      </c>
      <c r="AV975" s="899">
        <f>IFERROR(INDEX(V975:AG975,1,MATCH(Parametres!$B$3,V$1:AG$1,0)-1)*IF(OR(C975="L",C975="S",C975="I"),-1,1),"")</f>
        <v>0</v>
      </c>
      <c r="AW975" s="899">
        <f t="shared" si="100"/>
        <v>0</v>
      </c>
      <c r="AX975" s="899">
        <f>INDEX(V975:AG975,1,MATCH(Parametres!$B$3,V$1:AG$1,0))*IF(OR(C975="L",C975="S",C975="I"),-1,1)</f>
        <v>0</v>
      </c>
      <c r="AY975" s="487" t="s">
        <v>337</v>
      </c>
      <c r="AZ975" s="487" t="e">
        <f>+VLOOKUP($AJ975,Data_Validation!$A:$E,5,0)</f>
        <v>#N/A</v>
      </c>
    </row>
    <row r="976" spans="36:52" ht="15" hidden="1" customHeight="1">
      <c r="AJ976" s="905">
        <f t="shared" si="95"/>
        <v>0</v>
      </c>
      <c r="AK976" s="905">
        <f t="shared" si="96"/>
        <v>0</v>
      </c>
      <c r="AL976" s="905">
        <f>IFERROR(INDEX(G976:R976,1,MATCH(Parametres!$B$3,G$1:R$1,0)-1)*IF(OR(F976="L",F976="S",F976="I"),-1,1),"")</f>
        <v>0</v>
      </c>
      <c r="AM976" s="905">
        <f t="shared" si="97"/>
        <v>0</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f t="shared" si="98"/>
        <v>0</v>
      </c>
      <c r="AU976" s="488">
        <f t="shared" si="99"/>
        <v>0</v>
      </c>
      <c r="AV976" s="899">
        <f>IFERROR(INDEX(V976:AG976,1,MATCH(Parametres!$B$3,V$1:AG$1,0)-1)*IF(OR(C976="L",C976="S",C976="I"),-1,1),"")</f>
        <v>0</v>
      </c>
      <c r="AW976" s="899">
        <f t="shared" si="100"/>
        <v>0</v>
      </c>
      <c r="AX976" s="899">
        <f>INDEX(V976:AG976,1,MATCH(Parametres!$B$3,V$1:AG$1,0))*IF(OR(C976="L",C976="S",C976="I"),-1,1)</f>
        <v>0</v>
      </c>
      <c r="AY976" s="487" t="s">
        <v>337</v>
      </c>
      <c r="AZ976" s="487" t="e">
        <f>+VLOOKUP($AJ976,Data_Validation!$A:$E,5,0)</f>
        <v>#N/A</v>
      </c>
    </row>
    <row r="977" spans="36:52" ht="15" hidden="1" customHeight="1">
      <c r="AJ977" s="905">
        <f t="shared" si="95"/>
        <v>0</v>
      </c>
      <c r="AK977" s="905">
        <f t="shared" si="96"/>
        <v>0</v>
      </c>
      <c r="AL977" s="905">
        <f>IFERROR(INDEX(G977:R977,1,MATCH(Parametres!$B$3,G$1:R$1,0)-1)*IF(OR(F977="L",F977="S",F977="I"),-1,1),"")</f>
        <v>0</v>
      </c>
      <c r="AM977" s="905">
        <f t="shared" si="97"/>
        <v>0</v>
      </c>
      <c r="AN977" s="905">
        <f>INDEX(G977:R977,1,MATCH(Parametres!$B$3,G$1:R$1,0))*IF(OR(F977="L",F977="S",F977="I"),-1,1)</f>
        <v>0</v>
      </c>
      <c r="AO977" s="487" t="e">
        <f>+VLOOKUP($AJ977,Data_Validation!$A:$D,1,0)</f>
        <v>#N/A</v>
      </c>
      <c r="AP977" s="487" t="e">
        <f>+VLOOKUP($AJ977,Data_Validation!$A:$D,3,0)</f>
        <v>#N/A</v>
      </c>
      <c r="AQ977" s="487" t="e">
        <f>+VLOOKUP($AJ977,Data_Validation!$A:$D,4,0)</f>
        <v>#N/A</v>
      </c>
      <c r="AR977" s="487" t="s">
        <v>299</v>
      </c>
      <c r="AS977" s="487" t="e">
        <f>+VLOOKUP($AJ977,Data_Validation!$A:$E,5,0)</f>
        <v>#N/A</v>
      </c>
      <c r="AT977" s="904">
        <f t="shared" si="98"/>
        <v>0</v>
      </c>
      <c r="AU977" s="488">
        <f t="shared" si="99"/>
        <v>0</v>
      </c>
      <c r="AV977" s="899">
        <f>IFERROR(INDEX(V977:AG977,1,MATCH(Parametres!$B$3,V$1:AG$1,0)-1)*IF(OR(C977="L",C977="S",C977="I"),-1,1),"")</f>
        <v>0</v>
      </c>
      <c r="AW977" s="899">
        <f t="shared" si="100"/>
        <v>0</v>
      </c>
      <c r="AX977" s="899">
        <f>INDEX(V977:AG977,1,MATCH(Parametres!$B$3,V$1:AG$1,0))*IF(OR(C977="L",C977="S",C977="I"),-1,1)</f>
        <v>0</v>
      </c>
      <c r="AY977" s="487" t="s">
        <v>337</v>
      </c>
      <c r="AZ977" s="487" t="e">
        <f>+VLOOKUP($AJ977,Data_Validation!$A:$E,5,0)</f>
        <v>#N/A</v>
      </c>
    </row>
    <row r="978" spans="36:52" ht="15" hidden="1" customHeight="1">
      <c r="AJ978" s="905">
        <f t="shared" si="95"/>
        <v>0</v>
      </c>
      <c r="AK978" s="905">
        <f t="shared" si="96"/>
        <v>0</v>
      </c>
      <c r="AL978" s="905">
        <f>IFERROR(INDEX(G978:R978,1,MATCH(Parametres!$B$3,G$1:R$1,0)-1)*IF(OR(F978="L",F978="S",F978="I"),-1,1),"")</f>
        <v>0</v>
      </c>
      <c r="AM978" s="905">
        <f t="shared" si="97"/>
        <v>0</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f t="shared" si="98"/>
        <v>0</v>
      </c>
      <c r="AU978" s="488">
        <f t="shared" si="99"/>
        <v>0</v>
      </c>
      <c r="AV978" s="899">
        <f>IFERROR(INDEX(V978:AG978,1,MATCH(Parametres!$B$3,V$1:AG$1,0)-1)*IF(OR(C978="L",C978="S",C978="I"),-1,1),"")</f>
        <v>0</v>
      </c>
      <c r="AW978" s="899">
        <f t="shared" si="100"/>
        <v>0</v>
      </c>
      <c r="AX978" s="899">
        <f>INDEX(V978:AG978,1,MATCH(Parametres!$B$3,V$1:AG$1,0))*IF(OR(C978="L",C978="S",C978="I"),-1,1)</f>
        <v>0</v>
      </c>
      <c r="AY978" s="487" t="s">
        <v>337</v>
      </c>
      <c r="AZ978" s="487" t="e">
        <f>+VLOOKUP($AJ978,Data_Validation!$A:$E,5,0)</f>
        <v>#N/A</v>
      </c>
    </row>
    <row r="979" spans="36:52" ht="15" hidden="1" customHeight="1">
      <c r="AJ979" s="905">
        <f t="shared" si="95"/>
        <v>0</v>
      </c>
      <c r="AK979" s="905">
        <f t="shared" si="96"/>
        <v>0</v>
      </c>
      <c r="AL979" s="905">
        <f>IFERROR(INDEX(G979:R979,1,MATCH(Parametres!$B$3,G$1:R$1,0)-1)*IF(OR(F979="L",F979="S",F979="I"),-1,1),"")</f>
        <v>0</v>
      </c>
      <c r="AM979" s="905">
        <f t="shared" si="97"/>
        <v>0</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f t="shared" si="98"/>
        <v>0</v>
      </c>
      <c r="AU979" s="488">
        <f t="shared" si="99"/>
        <v>0</v>
      </c>
      <c r="AV979" s="899">
        <f>IFERROR(INDEX(V979:AG979,1,MATCH(Parametres!$B$3,V$1:AG$1,0)-1)*IF(OR(C979="L",C979="S",C979="I"),-1,1),"")</f>
        <v>0</v>
      </c>
      <c r="AW979" s="899">
        <f t="shared" si="100"/>
        <v>0</v>
      </c>
      <c r="AX979" s="899">
        <f>INDEX(V979:AG979,1,MATCH(Parametres!$B$3,V$1:AG$1,0))*IF(OR(C979="L",C979="S",C979="I"),-1,1)</f>
        <v>0</v>
      </c>
      <c r="AY979" s="487" t="s">
        <v>337</v>
      </c>
      <c r="AZ979" s="487" t="e">
        <f>+VLOOKUP($AJ979,Data_Validation!$A:$E,5,0)</f>
        <v>#N/A</v>
      </c>
    </row>
    <row r="980" spans="36:52" ht="15" hidden="1" customHeight="1">
      <c r="AJ980" s="905">
        <f t="shared" si="95"/>
        <v>0</v>
      </c>
      <c r="AK980" s="905">
        <f t="shared" si="96"/>
        <v>0</v>
      </c>
      <c r="AL980" s="905">
        <f>IFERROR(INDEX(G980:R980,1,MATCH(Parametres!$B$3,G$1:R$1,0)-1)*IF(OR(F980="L",F980="S",F980="I"),-1,1),"")</f>
        <v>0</v>
      </c>
      <c r="AM980" s="905">
        <f t="shared" si="97"/>
        <v>0</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f t="shared" si="98"/>
        <v>0</v>
      </c>
      <c r="AU980" s="488">
        <f t="shared" si="99"/>
        <v>0</v>
      </c>
      <c r="AV980" s="899">
        <f>IFERROR(INDEX(V980:AG980,1,MATCH(Parametres!$B$3,V$1:AG$1,0)-1)*IF(OR(C980="L",C980="S",C980="I"),-1,1),"")</f>
        <v>0</v>
      </c>
      <c r="AW980" s="899">
        <f t="shared" si="100"/>
        <v>0</v>
      </c>
      <c r="AX980" s="899">
        <f>INDEX(V980:AG980,1,MATCH(Parametres!$B$3,V$1:AG$1,0))*IF(OR(C980="L",C980="S",C980="I"),-1,1)</f>
        <v>0</v>
      </c>
      <c r="AY980" s="487" t="s">
        <v>337</v>
      </c>
      <c r="AZ980" s="487" t="e">
        <f>+VLOOKUP($AJ980,Data_Validation!$A:$E,5,0)</f>
        <v>#N/A</v>
      </c>
    </row>
    <row r="981" spans="36:52" ht="15" hidden="1" customHeight="1">
      <c r="AJ981" s="905">
        <f t="shared" si="95"/>
        <v>0</v>
      </c>
      <c r="AK981" s="905">
        <f t="shared" si="96"/>
        <v>0</v>
      </c>
      <c r="AL981" s="905">
        <f>IFERROR(INDEX(G981:R981,1,MATCH(Parametres!$B$3,G$1:R$1,0)-1)*IF(OR(F981="L",F981="S",F981="I"),-1,1),"")</f>
        <v>0</v>
      </c>
      <c r="AM981" s="905">
        <f t="shared" si="97"/>
        <v>0</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f t="shared" si="98"/>
        <v>0</v>
      </c>
      <c r="AU981" s="488">
        <f t="shared" si="99"/>
        <v>0</v>
      </c>
      <c r="AV981" s="899">
        <f>IFERROR(INDEX(V981:AG981,1,MATCH(Parametres!$B$3,V$1:AG$1,0)-1)*IF(OR(C981="L",C981="S",C981="I"),-1,1),"")</f>
        <v>0</v>
      </c>
      <c r="AW981" s="899">
        <f t="shared" si="100"/>
        <v>0</v>
      </c>
      <c r="AX981" s="899">
        <f>INDEX(V981:AG981,1,MATCH(Parametres!$B$3,V$1:AG$1,0))*IF(OR(C981="L",C981="S",C981="I"),-1,1)</f>
        <v>0</v>
      </c>
      <c r="AY981" s="487" t="s">
        <v>337</v>
      </c>
      <c r="AZ981" s="487" t="e">
        <f>+VLOOKUP($AJ981,Data_Validation!$A:$E,5,0)</f>
        <v>#N/A</v>
      </c>
    </row>
    <row r="982" spans="36:52" ht="15" hidden="1" customHeight="1">
      <c r="AJ982" s="905">
        <f t="shared" si="95"/>
        <v>0</v>
      </c>
      <c r="AK982" s="905">
        <f t="shared" si="96"/>
        <v>0</v>
      </c>
      <c r="AL982" s="905">
        <f>IFERROR(INDEX(G982:R982,1,MATCH(Parametres!$B$3,G$1:R$1,0)-1)*IF(OR(F982="L",F982="S",F982="I"),-1,1),"")</f>
        <v>0</v>
      </c>
      <c r="AM982" s="905">
        <f t="shared" si="97"/>
        <v>0</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f t="shared" si="98"/>
        <v>0</v>
      </c>
      <c r="AU982" s="488">
        <f t="shared" si="99"/>
        <v>0</v>
      </c>
      <c r="AV982" s="899">
        <f>IFERROR(INDEX(V982:AG982,1,MATCH(Parametres!$B$3,V$1:AG$1,0)-1)*IF(OR(C982="L",C982="S",C982="I"),-1,1),"")</f>
        <v>0</v>
      </c>
      <c r="AW982" s="899">
        <f t="shared" si="100"/>
        <v>0</v>
      </c>
      <c r="AX982" s="899">
        <f>INDEX(V982:AG982,1,MATCH(Parametres!$B$3,V$1:AG$1,0))*IF(OR(C982="L",C982="S",C982="I"),-1,1)</f>
        <v>0</v>
      </c>
      <c r="AY982" s="487" t="s">
        <v>337</v>
      </c>
      <c r="AZ982" s="487" t="e">
        <f>+VLOOKUP($AJ982,Data_Validation!$A:$E,5,0)</f>
        <v>#N/A</v>
      </c>
    </row>
    <row r="983" spans="36:52" ht="15" hidden="1" customHeight="1">
      <c r="AJ983" s="905">
        <f t="shared" si="95"/>
        <v>0</v>
      </c>
      <c r="AK983" s="905">
        <f t="shared" si="96"/>
        <v>0</v>
      </c>
      <c r="AL983" s="905">
        <f>IFERROR(INDEX(G983:R983,1,MATCH(Parametres!$B$3,G$1:R$1,0)-1)*IF(OR(F983="L",F983="S",F983="I"),-1,1),"")</f>
        <v>0</v>
      </c>
      <c r="AM983" s="905">
        <f t="shared" si="97"/>
        <v>0</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f t="shared" si="98"/>
        <v>0</v>
      </c>
      <c r="AU983" s="488">
        <f t="shared" si="99"/>
        <v>0</v>
      </c>
      <c r="AV983" s="899">
        <f>IFERROR(INDEX(V983:AG983,1,MATCH(Parametres!$B$3,V$1:AG$1,0)-1)*IF(OR(C983="L",C983="S",C983="I"),-1,1),"")</f>
        <v>0</v>
      </c>
      <c r="AW983" s="899">
        <f t="shared" si="100"/>
        <v>0</v>
      </c>
      <c r="AX983" s="899">
        <f>INDEX(V983:AG983,1,MATCH(Parametres!$B$3,V$1:AG$1,0))*IF(OR(C983="L",C983="S",C983="I"),-1,1)</f>
        <v>0</v>
      </c>
      <c r="AY983" s="487" t="s">
        <v>337</v>
      </c>
      <c r="AZ983" s="487" t="e">
        <f>+VLOOKUP($AJ983,Data_Validation!$A:$E,5,0)</f>
        <v>#N/A</v>
      </c>
    </row>
    <row r="984" spans="36:52" ht="15" hidden="1" customHeight="1">
      <c r="AJ984" s="905">
        <f t="shared" si="95"/>
        <v>0</v>
      </c>
      <c r="AK984" s="905">
        <f t="shared" si="96"/>
        <v>0</v>
      </c>
      <c r="AL984" s="905">
        <f>IFERROR(INDEX(G984:R984,1,MATCH(Parametres!$B$3,G$1:R$1,0)-1)*IF(OR(F984="L",F984="S",F984="I"),-1,1),"")</f>
        <v>0</v>
      </c>
      <c r="AM984" s="905">
        <f t="shared" si="97"/>
        <v>0</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f t="shared" si="98"/>
        <v>0</v>
      </c>
      <c r="AU984" s="488">
        <f t="shared" si="99"/>
        <v>0</v>
      </c>
      <c r="AV984" s="899">
        <f>IFERROR(INDEX(V984:AG984,1,MATCH(Parametres!$B$3,V$1:AG$1,0)-1)*IF(OR(C984="L",C984="S",C984="I"),-1,1),"")</f>
        <v>0</v>
      </c>
      <c r="AW984" s="899">
        <f t="shared" si="100"/>
        <v>0</v>
      </c>
      <c r="AX984" s="899">
        <f>INDEX(V984:AG984,1,MATCH(Parametres!$B$3,V$1:AG$1,0))*IF(OR(C984="L",C984="S",C984="I"),-1,1)</f>
        <v>0</v>
      </c>
      <c r="AY984" s="487" t="s">
        <v>337</v>
      </c>
      <c r="AZ984" s="487" t="e">
        <f>+VLOOKUP($AJ984,Data_Validation!$A:$E,5,0)</f>
        <v>#N/A</v>
      </c>
    </row>
    <row r="985" spans="36:52" ht="15" hidden="1" customHeight="1">
      <c r="AJ985" s="905">
        <f t="shared" si="95"/>
        <v>0</v>
      </c>
      <c r="AK985" s="905">
        <f t="shared" si="96"/>
        <v>0</v>
      </c>
      <c r="AL985" s="905">
        <f>IFERROR(INDEX(G985:R985,1,MATCH(Parametres!$B$3,G$1:R$1,0)-1)*IF(OR(F985="L",F985="S",F985="I"),-1,1),"")</f>
        <v>0</v>
      </c>
      <c r="AM985" s="905">
        <f t="shared" si="97"/>
        <v>0</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f t="shared" si="98"/>
        <v>0</v>
      </c>
      <c r="AU985" s="488">
        <f t="shared" si="99"/>
        <v>0</v>
      </c>
      <c r="AV985" s="899">
        <f>IFERROR(INDEX(V985:AG985,1,MATCH(Parametres!$B$3,V$1:AG$1,0)-1)*IF(OR(C985="L",C985="S",C985="I"),-1,1),"")</f>
        <v>0</v>
      </c>
      <c r="AW985" s="899">
        <f t="shared" si="100"/>
        <v>0</v>
      </c>
      <c r="AX985" s="899">
        <f>INDEX(V985:AG985,1,MATCH(Parametres!$B$3,V$1:AG$1,0))*IF(OR(C985="L",C985="S",C985="I"),-1,1)</f>
        <v>0</v>
      </c>
      <c r="AY985" s="487" t="s">
        <v>337</v>
      </c>
      <c r="AZ985" s="487" t="e">
        <f>+VLOOKUP($AJ985,Data_Validation!$A:$E,5,0)</f>
        <v>#N/A</v>
      </c>
    </row>
    <row r="986" spans="36:52" ht="15" hidden="1" customHeight="1">
      <c r="AJ986" s="905">
        <f t="shared" si="95"/>
        <v>0</v>
      </c>
      <c r="AK986" s="905">
        <f t="shared" si="96"/>
        <v>0</v>
      </c>
      <c r="AL986" s="905">
        <f>IFERROR(INDEX(G986:R986,1,MATCH(Parametres!$B$3,G$1:R$1,0)-1)*IF(OR(F986="L",F986="S",F986="I"),-1,1),"")</f>
        <v>0</v>
      </c>
      <c r="AM986" s="905">
        <f t="shared" si="97"/>
        <v>0</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f t="shared" si="98"/>
        <v>0</v>
      </c>
      <c r="AU986" s="488">
        <f t="shared" si="99"/>
        <v>0</v>
      </c>
      <c r="AV986" s="899">
        <f>IFERROR(INDEX(V986:AG986,1,MATCH(Parametres!$B$3,V$1:AG$1,0)-1)*IF(OR(C986="L",C986="S",C986="I"),-1,1),"")</f>
        <v>0</v>
      </c>
      <c r="AW986" s="899">
        <f t="shared" si="100"/>
        <v>0</v>
      </c>
      <c r="AX986" s="899">
        <f>INDEX(V986:AG986,1,MATCH(Parametres!$B$3,V$1:AG$1,0))*IF(OR(C986="L",C986="S",C986="I"),-1,1)</f>
        <v>0</v>
      </c>
      <c r="AY986" s="487" t="s">
        <v>337</v>
      </c>
      <c r="AZ986" s="487" t="e">
        <f>+VLOOKUP($AJ986,Data_Validation!$A:$E,5,0)</f>
        <v>#N/A</v>
      </c>
    </row>
    <row r="987" spans="36:52" ht="15" hidden="1" customHeight="1">
      <c r="AJ987" s="905">
        <f t="shared" ref="AJ987:AJ989" si="101">C987</f>
        <v>0</v>
      </c>
      <c r="AK987" s="905">
        <f t="shared" ref="AK987:AK989" si="102">D987</f>
        <v>0</v>
      </c>
      <c r="AL987" s="905">
        <f>IFERROR(INDEX(G987:R987,1,MATCH(Parametres!$B$3,G$1:R$1,0)-1)*IF(OR(F987="L",F987="S",F987="I"),-1,1),"")</f>
        <v>0</v>
      </c>
      <c r="AM987" s="905">
        <f t="shared" ref="AM987:AM989" si="103">AN987-AL987</f>
        <v>0</v>
      </c>
      <c r="AN987" s="905">
        <f>INDEX(G987:R987,1,MATCH(Parametres!$B$3,G$1:R$1,0))*IF(OR(F987="L",F987="S",F987="I"),-1,1)</f>
        <v>0</v>
      </c>
      <c r="AO987" s="487" t="e">
        <f>+VLOOKUP($AJ987,Data_Validation!$A:$D,1,0)</f>
        <v>#N/A</v>
      </c>
      <c r="AP987" s="487" t="e">
        <f>+VLOOKUP($AJ987,Data_Validation!$A:$D,3,0)</f>
        <v>#N/A</v>
      </c>
      <c r="AQ987" s="487" t="e">
        <f>+VLOOKUP($AJ987,Data_Validation!$A:$D,4,0)</f>
        <v>#N/A</v>
      </c>
      <c r="AR987" s="487" t="s">
        <v>299</v>
      </c>
      <c r="AS987" s="487" t="e">
        <f>+VLOOKUP($AJ987,Data_Validation!$A:$E,5,0)</f>
        <v>#N/A</v>
      </c>
      <c r="AT987" s="904">
        <f t="shared" ref="AT987:AT989" si="104">C987</f>
        <v>0</v>
      </c>
      <c r="AU987" s="488">
        <f t="shared" ref="AU987:AU989" si="105">D987</f>
        <v>0</v>
      </c>
      <c r="AV987" s="899">
        <f>IFERROR(INDEX(V987:AG987,1,MATCH(Parametres!$B$3,V$1:AG$1,0)-1)*IF(OR(C987="L",C987="S",C987="I"),-1,1),"")</f>
        <v>0</v>
      </c>
      <c r="AW987" s="899">
        <f t="shared" ref="AW987:AW989" si="106">AX987-AV987</f>
        <v>0</v>
      </c>
      <c r="AX987" s="899">
        <f>INDEX(V987:AG987,1,MATCH(Parametres!$B$3,V$1:AG$1,0))*IF(OR(C987="L",C987="S",C987="I"),-1,1)</f>
        <v>0</v>
      </c>
      <c r="AY987" s="487" t="s">
        <v>337</v>
      </c>
      <c r="AZ987" s="487" t="e">
        <f>+VLOOKUP($AJ987,Data_Validation!$A:$E,5,0)</f>
        <v>#N/A</v>
      </c>
    </row>
    <row r="988" spans="36:52" ht="15" hidden="1" customHeight="1">
      <c r="AJ988" s="905">
        <f t="shared" si="101"/>
        <v>0</v>
      </c>
      <c r="AK988" s="905">
        <f t="shared" si="102"/>
        <v>0</v>
      </c>
      <c r="AL988" s="905">
        <f>IFERROR(INDEX(G988:R988,1,MATCH(Parametres!$B$3,G$1:R$1,0)-1)*IF(OR(F988="L",F988="S",F988="I"),-1,1),"")</f>
        <v>0</v>
      </c>
      <c r="AM988" s="905">
        <f t="shared" si="103"/>
        <v>0</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f t="shared" si="104"/>
        <v>0</v>
      </c>
      <c r="AU988" s="488">
        <f t="shared" si="105"/>
        <v>0</v>
      </c>
      <c r="AV988" s="899">
        <f>IFERROR(INDEX(V988:AG988,1,MATCH(Parametres!$B$3,V$1:AG$1,0)-1)*IF(OR(C988="L",C988="S",C988="I"),-1,1),"")</f>
        <v>0</v>
      </c>
      <c r="AW988" s="899">
        <f t="shared" si="106"/>
        <v>0</v>
      </c>
      <c r="AX988" s="899">
        <f>INDEX(V988:AG988,1,MATCH(Parametres!$B$3,V$1:AG$1,0))*IF(OR(C988="L",C988="S",C988="I"),-1,1)</f>
        <v>0</v>
      </c>
      <c r="AY988" s="487" t="s">
        <v>337</v>
      </c>
      <c r="AZ988" s="487" t="e">
        <f>+VLOOKUP($AJ988,Data_Validation!$A:$E,5,0)</f>
        <v>#N/A</v>
      </c>
    </row>
    <row r="989" spans="36:52" ht="15" hidden="1" customHeight="1">
      <c r="AJ989" s="905">
        <f t="shared" si="101"/>
        <v>0</v>
      </c>
      <c r="AK989" s="905">
        <f t="shared" si="102"/>
        <v>0</v>
      </c>
      <c r="AL989" s="905">
        <f>IFERROR(INDEX(G989:R989,1,MATCH(Parametres!$B$3,G$1:R$1,0)-1)*IF(OR(F989="L",F989="S",F989="I"),-1,1),"")</f>
        <v>0</v>
      </c>
      <c r="AM989" s="905">
        <f t="shared" si="103"/>
        <v>0</v>
      </c>
      <c r="AN989" s="905">
        <f>INDEX(G989:R989,1,MATCH(Parametres!$B$3,G$1:R$1,0))*IF(OR(F989="L",F989="S",F989="I"),-1,1)</f>
        <v>0</v>
      </c>
      <c r="AO989" s="487" t="e">
        <f>+VLOOKUP($AJ989,Data_Validation!$A:$D,1,0)</f>
        <v>#N/A</v>
      </c>
      <c r="AP989" s="487" t="e">
        <f>+VLOOKUP($AJ989,Data_Validation!$A:$D,3,0)</f>
        <v>#N/A</v>
      </c>
      <c r="AQ989" s="487" t="e">
        <f>+VLOOKUP($AJ989,Data_Validation!$A:$D,4,0)</f>
        <v>#N/A</v>
      </c>
      <c r="AR989" s="487" t="s">
        <v>299</v>
      </c>
      <c r="AS989" s="487" t="e">
        <f>+VLOOKUP($AJ989,Data_Validation!$A:$E,5,0)</f>
        <v>#N/A</v>
      </c>
      <c r="AT989" s="904">
        <f t="shared" si="104"/>
        <v>0</v>
      </c>
      <c r="AU989" s="488">
        <f t="shared" si="105"/>
        <v>0</v>
      </c>
      <c r="AV989" s="899">
        <f>IFERROR(INDEX(V989:AG989,1,MATCH(Parametres!$B$3,V$1:AG$1,0)-1)*IF(OR(C989="L",C989="S",C989="I"),-1,1),"")</f>
        <v>0</v>
      </c>
      <c r="AW989" s="899">
        <f t="shared" si="106"/>
        <v>0</v>
      </c>
      <c r="AX989" s="899">
        <f>INDEX(V989:AG989,1,MATCH(Parametres!$B$3,V$1:AG$1,0))*IF(OR(C989="L",C989="S",C989="I"),-1,1)</f>
        <v>0</v>
      </c>
      <c r="AY989" s="487" t="s">
        <v>337</v>
      </c>
      <c r="AZ989" s="487" t="e">
        <f>+VLOOKUP($AJ989,Data_Validation!$A:$E,5,0)</f>
        <v>#N/A</v>
      </c>
    </row>
    <row r="990" spans="36:52" ht="15" hidden="1" customHeight="1">
      <c r="AJ990" s="905">
        <f t="shared" ref="AJ990:AJ1012" si="107">C990</f>
        <v>0</v>
      </c>
      <c r="AK990" s="905">
        <f t="shared" ref="AK990:AK1012" si="108">D990</f>
        <v>0</v>
      </c>
      <c r="AL990" s="905">
        <f>IFERROR(INDEX(G990:R990,1,MATCH(Parametres!$B$3,G$1:R$1,0)-1)*IF(OR(F990="L",F990="S",F990="I"),-1,1),"")</f>
        <v>0</v>
      </c>
      <c r="AM990" s="905">
        <f t="shared" ref="AM990:AM1012" si="109">AN990-AL990</f>
        <v>0</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f t="shared" ref="AT990:AT1012" si="110">C990</f>
        <v>0</v>
      </c>
      <c r="AU990" s="488">
        <f t="shared" ref="AU990:AU1012" si="111">D990</f>
        <v>0</v>
      </c>
      <c r="AV990" s="899">
        <f>IFERROR(INDEX(V990:AG990,1,MATCH(Parametres!$B$3,V$1:AG$1,0)-1)*IF(OR(C990="L",C990="S",C990="I"),-1,1),"")</f>
        <v>0</v>
      </c>
      <c r="AW990" s="899">
        <f t="shared" ref="AW990:AW1012" si="112">AX990-AV990</f>
        <v>0</v>
      </c>
      <c r="AX990" s="899">
        <f>INDEX(V990:AG990,1,MATCH(Parametres!$B$3,V$1:AG$1,0))*IF(OR(C990="L",C990="S",C990="I"),-1,1)</f>
        <v>0</v>
      </c>
      <c r="AY990" s="487" t="s">
        <v>337</v>
      </c>
      <c r="AZ990" s="487" t="e">
        <f>+VLOOKUP($AJ990,Data_Validation!$A:$E,5,0)</f>
        <v>#N/A</v>
      </c>
    </row>
    <row r="991" spans="36:52" ht="15" hidden="1" customHeight="1">
      <c r="AJ991" s="905">
        <f t="shared" si="107"/>
        <v>0</v>
      </c>
      <c r="AK991" s="905">
        <f t="shared" si="108"/>
        <v>0</v>
      </c>
      <c r="AL991" s="905">
        <f>IFERROR(INDEX(G991:R991,1,MATCH(Parametres!$B$3,G$1:R$1,0)-1)*IF(OR(F991="L",F991="S",F991="I"),-1,1),"")</f>
        <v>0</v>
      </c>
      <c r="AM991" s="905">
        <f t="shared" si="109"/>
        <v>0</v>
      </c>
      <c r="AN991" s="905">
        <f>INDEX(G991:R991,1,MATCH(Parametres!$B$3,G$1:R$1,0))*IF(OR(F991="L",F991="S",F991="I"),-1,1)</f>
        <v>0</v>
      </c>
      <c r="AO991" s="487" t="e">
        <f>+VLOOKUP($AJ991,Data_Validation!$A:$D,1,0)</f>
        <v>#N/A</v>
      </c>
      <c r="AP991" s="487" t="e">
        <f>+VLOOKUP($AJ991,Data_Validation!$A:$D,3,0)</f>
        <v>#N/A</v>
      </c>
      <c r="AQ991" s="487" t="e">
        <f>+VLOOKUP($AJ991,Data_Validation!$A:$D,4,0)</f>
        <v>#N/A</v>
      </c>
      <c r="AR991" s="487" t="s">
        <v>299</v>
      </c>
      <c r="AS991" s="487" t="e">
        <f>+VLOOKUP($AJ991,Data_Validation!$A:$E,5,0)</f>
        <v>#N/A</v>
      </c>
      <c r="AT991" s="904">
        <f t="shared" si="110"/>
        <v>0</v>
      </c>
      <c r="AU991" s="488">
        <f t="shared" si="111"/>
        <v>0</v>
      </c>
      <c r="AV991" s="899">
        <f>IFERROR(INDEX(V991:AG991,1,MATCH(Parametres!$B$3,V$1:AG$1,0)-1)*IF(OR(C991="L",C991="S",C991="I"),-1,1),"")</f>
        <v>0</v>
      </c>
      <c r="AW991" s="899">
        <f t="shared" si="112"/>
        <v>0</v>
      </c>
      <c r="AX991" s="899">
        <f>INDEX(V991:AG991,1,MATCH(Parametres!$B$3,V$1:AG$1,0))*IF(OR(C991="L",C991="S",C991="I"),-1,1)</f>
        <v>0</v>
      </c>
      <c r="AY991" s="487" t="s">
        <v>337</v>
      </c>
      <c r="AZ991" s="487" t="e">
        <f>+VLOOKUP($AJ991,Data_Validation!$A:$E,5,0)</f>
        <v>#N/A</v>
      </c>
    </row>
    <row r="992" spans="36:52" ht="15" hidden="1" customHeight="1">
      <c r="AJ992" s="905">
        <f t="shared" si="107"/>
        <v>0</v>
      </c>
      <c r="AK992" s="905">
        <f t="shared" si="108"/>
        <v>0</v>
      </c>
      <c r="AL992" s="905">
        <f>IFERROR(INDEX(G992:R992,1,MATCH(Parametres!$B$3,G$1:R$1,0)-1)*IF(OR(F992="L",F992="S",F992="I"),-1,1),"")</f>
        <v>0</v>
      </c>
      <c r="AM992" s="905">
        <f t="shared" si="109"/>
        <v>0</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f t="shared" si="110"/>
        <v>0</v>
      </c>
      <c r="AU992" s="488">
        <f t="shared" si="111"/>
        <v>0</v>
      </c>
      <c r="AV992" s="899">
        <f>IFERROR(INDEX(V992:AG992,1,MATCH(Parametres!$B$3,V$1:AG$1,0)-1)*IF(OR(C992="L",C992="S",C992="I"),-1,1),"")</f>
        <v>0</v>
      </c>
      <c r="AW992" s="899">
        <f t="shared" si="112"/>
        <v>0</v>
      </c>
      <c r="AX992" s="899">
        <f>INDEX(V992:AG992,1,MATCH(Parametres!$B$3,V$1:AG$1,0))*IF(OR(C992="L",C992="S",C992="I"),-1,1)</f>
        <v>0</v>
      </c>
      <c r="AY992" s="487" t="s">
        <v>337</v>
      </c>
      <c r="AZ992" s="487" t="e">
        <f>+VLOOKUP($AJ992,Data_Validation!$A:$E,5,0)</f>
        <v>#N/A</v>
      </c>
    </row>
    <row r="993" spans="36:52" ht="15" hidden="1" customHeight="1">
      <c r="AJ993" s="905">
        <f t="shared" si="107"/>
        <v>0</v>
      </c>
      <c r="AK993" s="905">
        <f t="shared" si="108"/>
        <v>0</v>
      </c>
      <c r="AL993" s="905">
        <f>IFERROR(INDEX(G993:R993,1,MATCH(Parametres!$B$3,G$1:R$1,0)-1)*IF(OR(F993="L",F993="S",F993="I"),-1,1),"")</f>
        <v>0</v>
      </c>
      <c r="AM993" s="905">
        <f t="shared" si="109"/>
        <v>0</v>
      </c>
      <c r="AN993" s="905">
        <f>INDEX(G993:R993,1,MATCH(Parametres!$B$3,G$1:R$1,0))*IF(OR(F993="L",F993="S",F993="I"),-1,1)</f>
        <v>0</v>
      </c>
      <c r="AO993" s="487" t="e">
        <f>+VLOOKUP($AJ993,Data_Validation!$A:$D,1,0)</f>
        <v>#N/A</v>
      </c>
      <c r="AP993" s="487" t="e">
        <f>+VLOOKUP($AJ993,Data_Validation!$A:$D,3,0)</f>
        <v>#N/A</v>
      </c>
      <c r="AQ993" s="487" t="e">
        <f>+VLOOKUP($AJ993,Data_Validation!$A:$D,4,0)</f>
        <v>#N/A</v>
      </c>
      <c r="AR993" s="487" t="s">
        <v>299</v>
      </c>
      <c r="AS993" s="487" t="e">
        <f>+VLOOKUP($AJ993,Data_Validation!$A:$E,5,0)</f>
        <v>#N/A</v>
      </c>
      <c r="AT993" s="904">
        <f t="shared" si="110"/>
        <v>0</v>
      </c>
      <c r="AU993" s="488">
        <f t="shared" si="111"/>
        <v>0</v>
      </c>
      <c r="AV993" s="899">
        <f>IFERROR(INDEX(V993:AG993,1,MATCH(Parametres!$B$3,V$1:AG$1,0)-1)*IF(OR(C993="L",C993="S",C993="I"),-1,1),"")</f>
        <v>0</v>
      </c>
      <c r="AW993" s="899">
        <f t="shared" si="112"/>
        <v>0</v>
      </c>
      <c r="AX993" s="899">
        <f>INDEX(V993:AG993,1,MATCH(Parametres!$B$3,V$1:AG$1,0))*IF(OR(C993="L",C993="S",C993="I"),-1,1)</f>
        <v>0</v>
      </c>
      <c r="AY993" s="487" t="s">
        <v>337</v>
      </c>
      <c r="AZ993" s="487" t="e">
        <f>+VLOOKUP($AJ993,Data_Validation!$A:$E,5,0)</f>
        <v>#N/A</v>
      </c>
    </row>
    <row r="994" spans="36:52" ht="15" hidden="1" customHeight="1">
      <c r="AJ994" s="905">
        <f t="shared" si="107"/>
        <v>0</v>
      </c>
      <c r="AK994" s="905">
        <f t="shared" si="108"/>
        <v>0</v>
      </c>
      <c r="AL994" s="905">
        <f>IFERROR(INDEX(G994:R994,1,MATCH(Parametres!$B$3,G$1:R$1,0)-1)*IF(OR(F994="L",F994="S",F994="I"),-1,1),"")</f>
        <v>0</v>
      </c>
      <c r="AM994" s="905">
        <f t="shared" si="109"/>
        <v>0</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f t="shared" si="110"/>
        <v>0</v>
      </c>
      <c r="AU994" s="488">
        <f t="shared" si="111"/>
        <v>0</v>
      </c>
      <c r="AV994" s="899">
        <f>IFERROR(INDEX(V994:AG994,1,MATCH(Parametres!$B$3,V$1:AG$1,0)-1)*IF(OR(C994="L",C994="S",C994="I"),-1,1),"")</f>
        <v>0</v>
      </c>
      <c r="AW994" s="899">
        <f t="shared" si="112"/>
        <v>0</v>
      </c>
      <c r="AX994" s="899">
        <f>INDEX(V994:AG994,1,MATCH(Parametres!$B$3,V$1:AG$1,0))*IF(OR(C994="L",C994="S",C994="I"),-1,1)</f>
        <v>0</v>
      </c>
      <c r="AY994" s="487" t="s">
        <v>337</v>
      </c>
      <c r="AZ994" s="487" t="e">
        <f>+VLOOKUP($AJ994,Data_Validation!$A:$E,5,0)</f>
        <v>#N/A</v>
      </c>
    </row>
    <row r="995" spans="36:52" ht="15" hidden="1" customHeight="1">
      <c r="AJ995" s="905">
        <f t="shared" si="107"/>
        <v>0</v>
      </c>
      <c r="AK995" s="905">
        <f t="shared" si="108"/>
        <v>0</v>
      </c>
      <c r="AL995" s="905">
        <f>IFERROR(INDEX(G995:R995,1,MATCH(Parametres!$B$3,G$1:R$1,0)-1)*IF(OR(F995="L",F995="S",F995="I"),-1,1),"")</f>
        <v>0</v>
      </c>
      <c r="AM995" s="905">
        <f t="shared" si="109"/>
        <v>0</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f t="shared" si="110"/>
        <v>0</v>
      </c>
      <c r="AU995" s="488">
        <f t="shared" si="111"/>
        <v>0</v>
      </c>
      <c r="AV995" s="899">
        <f>IFERROR(INDEX(V995:AG995,1,MATCH(Parametres!$B$3,V$1:AG$1,0)-1)*IF(OR(C995="L",C995="S",C995="I"),-1,1),"")</f>
        <v>0</v>
      </c>
      <c r="AW995" s="899">
        <f t="shared" si="112"/>
        <v>0</v>
      </c>
      <c r="AX995" s="899">
        <f>INDEX(V995:AG995,1,MATCH(Parametres!$B$3,V$1:AG$1,0))*IF(OR(C995="L",C995="S",C995="I"),-1,1)</f>
        <v>0</v>
      </c>
      <c r="AY995" s="487" t="s">
        <v>337</v>
      </c>
      <c r="AZ995" s="487" t="e">
        <f>+VLOOKUP($AJ995,Data_Validation!$A:$E,5,0)</f>
        <v>#N/A</v>
      </c>
    </row>
    <row r="996" spans="36:52" ht="15" hidden="1" customHeight="1">
      <c r="AJ996" s="905">
        <f t="shared" si="107"/>
        <v>0</v>
      </c>
      <c r="AK996" s="905">
        <f t="shared" si="108"/>
        <v>0</v>
      </c>
      <c r="AL996" s="905">
        <f>IFERROR(INDEX(G996:R996,1,MATCH(Parametres!$B$3,G$1:R$1,0)-1)*IF(OR(F996="L",F996="S",F996="I"),-1,1),"")</f>
        <v>0</v>
      </c>
      <c r="AM996" s="905">
        <f t="shared" si="109"/>
        <v>0</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f t="shared" si="110"/>
        <v>0</v>
      </c>
      <c r="AU996" s="488">
        <f t="shared" si="111"/>
        <v>0</v>
      </c>
      <c r="AV996" s="899">
        <f>IFERROR(INDEX(V996:AG996,1,MATCH(Parametres!$B$3,V$1:AG$1,0)-1)*IF(OR(C996="L",C996="S",C996="I"),-1,1),"")</f>
        <v>0</v>
      </c>
      <c r="AW996" s="899">
        <f t="shared" si="112"/>
        <v>0</v>
      </c>
      <c r="AX996" s="899">
        <f>INDEX(V996:AG996,1,MATCH(Parametres!$B$3,V$1:AG$1,0))*IF(OR(C996="L",C996="S",C996="I"),-1,1)</f>
        <v>0</v>
      </c>
      <c r="AY996" s="487" t="s">
        <v>337</v>
      </c>
      <c r="AZ996" s="487" t="e">
        <f>+VLOOKUP($AJ996,Data_Validation!$A:$E,5,0)</f>
        <v>#N/A</v>
      </c>
    </row>
    <row r="997" spans="36:52" ht="15" hidden="1" customHeight="1">
      <c r="AJ997" s="905">
        <f t="shared" si="107"/>
        <v>0</v>
      </c>
      <c r="AK997" s="905">
        <f t="shared" si="108"/>
        <v>0</v>
      </c>
      <c r="AL997" s="905">
        <f>IFERROR(INDEX(G997:R997,1,MATCH(Parametres!$B$3,G$1:R$1,0)-1)*IF(OR(F997="L",F997="S",F997="I"),-1,1),"")</f>
        <v>0</v>
      </c>
      <c r="AM997" s="905">
        <f t="shared" si="109"/>
        <v>0</v>
      </c>
      <c r="AN997" s="905">
        <f>INDEX(G997:R997,1,MATCH(Parametres!$B$3,G$1:R$1,0))*IF(OR(F997="L",F997="S",F997="I"),-1,1)</f>
        <v>0</v>
      </c>
      <c r="AO997" s="487" t="e">
        <f>+VLOOKUP($AJ997,Data_Validation!$A:$D,1,0)</f>
        <v>#N/A</v>
      </c>
      <c r="AP997" s="487" t="e">
        <f>+VLOOKUP($AJ997,Data_Validation!$A:$D,3,0)</f>
        <v>#N/A</v>
      </c>
      <c r="AQ997" s="487" t="e">
        <f>+VLOOKUP($AJ997,Data_Validation!$A:$D,4,0)</f>
        <v>#N/A</v>
      </c>
      <c r="AR997" s="487" t="s">
        <v>299</v>
      </c>
      <c r="AS997" s="487" t="e">
        <f>+VLOOKUP($AJ997,Data_Validation!$A:$E,5,0)</f>
        <v>#N/A</v>
      </c>
      <c r="AT997" s="904">
        <f t="shared" si="110"/>
        <v>0</v>
      </c>
      <c r="AU997" s="488">
        <f t="shared" si="111"/>
        <v>0</v>
      </c>
      <c r="AV997" s="899">
        <f>IFERROR(INDEX(V997:AG997,1,MATCH(Parametres!$B$3,V$1:AG$1,0)-1)*IF(OR(C997="L",C997="S",C997="I"),-1,1),"")</f>
        <v>0</v>
      </c>
      <c r="AW997" s="899">
        <f t="shared" si="112"/>
        <v>0</v>
      </c>
      <c r="AX997" s="899">
        <f>INDEX(V997:AG997,1,MATCH(Parametres!$B$3,V$1:AG$1,0))*IF(OR(C997="L",C997="S",C997="I"),-1,1)</f>
        <v>0</v>
      </c>
      <c r="AY997" s="487" t="s">
        <v>337</v>
      </c>
      <c r="AZ997" s="487" t="e">
        <f>+VLOOKUP($AJ997,Data_Validation!$A:$E,5,0)</f>
        <v>#N/A</v>
      </c>
    </row>
    <row r="998" spans="36:52" ht="15" hidden="1" customHeight="1">
      <c r="AJ998" s="905">
        <f t="shared" si="107"/>
        <v>0</v>
      </c>
      <c r="AK998" s="905">
        <f t="shared" si="108"/>
        <v>0</v>
      </c>
      <c r="AL998" s="905">
        <f>IFERROR(INDEX(G998:R998,1,MATCH(Parametres!$B$3,G$1:R$1,0)-1)*IF(OR(F998="L",F998="S",F998="I"),-1,1),"")</f>
        <v>0</v>
      </c>
      <c r="AM998" s="905">
        <f t="shared" si="109"/>
        <v>0</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f t="shared" si="110"/>
        <v>0</v>
      </c>
      <c r="AU998" s="488">
        <f t="shared" si="111"/>
        <v>0</v>
      </c>
      <c r="AV998" s="899">
        <f>IFERROR(INDEX(V998:AG998,1,MATCH(Parametres!$B$3,V$1:AG$1,0)-1)*IF(OR(C998="L",C998="S",C998="I"),-1,1),"")</f>
        <v>0</v>
      </c>
      <c r="AW998" s="899">
        <f t="shared" si="112"/>
        <v>0</v>
      </c>
      <c r="AX998" s="899">
        <f>INDEX(V998:AG998,1,MATCH(Parametres!$B$3,V$1:AG$1,0))*IF(OR(C998="L",C998="S",C998="I"),-1,1)</f>
        <v>0</v>
      </c>
      <c r="AY998" s="487" t="s">
        <v>337</v>
      </c>
      <c r="AZ998" s="487" t="e">
        <f>+VLOOKUP($AJ998,Data_Validation!$A:$E,5,0)</f>
        <v>#N/A</v>
      </c>
    </row>
    <row r="999" spans="36:52" ht="15" hidden="1" customHeight="1">
      <c r="AJ999" s="905">
        <f t="shared" si="107"/>
        <v>0</v>
      </c>
      <c r="AK999" s="905">
        <f t="shared" si="108"/>
        <v>0</v>
      </c>
      <c r="AL999" s="905">
        <f>IFERROR(INDEX(G999:R999,1,MATCH(Parametres!$B$3,G$1:R$1,0)-1)*IF(OR(F999="L",F999="S",F999="I"),-1,1),"")</f>
        <v>0</v>
      </c>
      <c r="AM999" s="905">
        <f t="shared" si="109"/>
        <v>0</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f t="shared" si="110"/>
        <v>0</v>
      </c>
      <c r="AU999" s="488">
        <f t="shared" si="111"/>
        <v>0</v>
      </c>
      <c r="AV999" s="899">
        <f>IFERROR(INDEX(V999:AG999,1,MATCH(Parametres!$B$3,V$1:AG$1,0)-1)*IF(OR(C999="L",C999="S",C999="I"),-1,1),"")</f>
        <v>0</v>
      </c>
      <c r="AW999" s="899">
        <f t="shared" si="112"/>
        <v>0</v>
      </c>
      <c r="AX999" s="899">
        <f>INDEX(V999:AG999,1,MATCH(Parametres!$B$3,V$1:AG$1,0))*IF(OR(C999="L",C999="S",C999="I"),-1,1)</f>
        <v>0</v>
      </c>
      <c r="AY999" s="487" t="s">
        <v>337</v>
      </c>
      <c r="AZ999" s="487" t="e">
        <f>+VLOOKUP($AJ999,Data_Validation!$A:$E,5,0)</f>
        <v>#N/A</v>
      </c>
    </row>
    <row r="1000" spans="36:52" ht="15" hidden="1" customHeight="1">
      <c r="AJ1000" s="905">
        <f t="shared" si="107"/>
        <v>0</v>
      </c>
      <c r="AK1000" s="905">
        <f t="shared" si="108"/>
        <v>0</v>
      </c>
      <c r="AL1000" s="905">
        <f>IFERROR(INDEX(G1000:R1000,1,MATCH(Parametres!$B$3,G$1:R$1,0)-1)*IF(OR(F1000="L",F1000="S",F1000="I"),-1,1),"")</f>
        <v>0</v>
      </c>
      <c r="AM1000" s="905">
        <f t="shared" si="109"/>
        <v>0</v>
      </c>
      <c r="AN1000" s="905">
        <f>INDEX(G1000:R1000,1,MATCH(Parametres!$B$3,G$1:R$1,0))*IF(OR(F1000="L",F1000="S",F1000="I"),-1,1)</f>
        <v>0</v>
      </c>
      <c r="AO1000" s="487" t="e">
        <f>+VLOOKUP($AJ1000,Data_Validation!$A:$D,1,0)</f>
        <v>#N/A</v>
      </c>
      <c r="AP1000" s="487" t="e">
        <f>+VLOOKUP($AJ1000,Data_Validation!$A:$D,3,0)</f>
        <v>#N/A</v>
      </c>
      <c r="AQ1000" s="487" t="e">
        <f>+VLOOKUP($AJ1000,Data_Validation!$A:$D,4,0)</f>
        <v>#N/A</v>
      </c>
      <c r="AR1000" s="487" t="s">
        <v>299</v>
      </c>
      <c r="AS1000" s="487" t="e">
        <f>+VLOOKUP($AJ1000,Data_Validation!$A:$E,5,0)</f>
        <v>#N/A</v>
      </c>
      <c r="AT1000" s="904">
        <f t="shared" si="110"/>
        <v>0</v>
      </c>
      <c r="AU1000" s="488">
        <f t="shared" si="111"/>
        <v>0</v>
      </c>
      <c r="AV1000" s="899">
        <f>IFERROR(INDEX(V1000:AG1000,1,MATCH(Parametres!$B$3,V$1:AG$1,0)-1)*IF(OR(C1000="L",C1000="S",C1000="I"),-1,1),"")</f>
        <v>0</v>
      </c>
      <c r="AW1000" s="899">
        <f t="shared" si="112"/>
        <v>0</v>
      </c>
      <c r="AX1000" s="899">
        <f>INDEX(V1000:AG1000,1,MATCH(Parametres!$B$3,V$1:AG$1,0))*IF(OR(C1000="L",C1000="S",C1000="I"),-1,1)</f>
        <v>0</v>
      </c>
      <c r="AY1000" s="487" t="s">
        <v>337</v>
      </c>
      <c r="AZ1000" s="487" t="e">
        <f>+VLOOKUP($AJ1000,Data_Validation!$A:$E,5,0)</f>
        <v>#N/A</v>
      </c>
    </row>
    <row r="1001" spans="36:52" ht="15" hidden="1" customHeight="1">
      <c r="AJ1001" s="905">
        <f t="shared" si="107"/>
        <v>0</v>
      </c>
      <c r="AK1001" s="905">
        <f t="shared" si="108"/>
        <v>0</v>
      </c>
      <c r="AL1001" s="905">
        <f>IFERROR(INDEX(G1001:R1001,1,MATCH(Parametres!$B$3,G$1:R$1,0)-1)*IF(OR(F1001="L",F1001="S",F1001="I"),-1,1),"")</f>
        <v>0</v>
      </c>
      <c r="AM1001" s="905">
        <f t="shared" si="109"/>
        <v>0</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f t="shared" si="110"/>
        <v>0</v>
      </c>
      <c r="AU1001" s="488">
        <f t="shared" si="111"/>
        <v>0</v>
      </c>
      <c r="AV1001" s="899">
        <f>IFERROR(INDEX(V1001:AG1001,1,MATCH(Parametres!$B$3,V$1:AG$1,0)-1)*IF(OR(C1001="L",C1001="S",C1001="I"),-1,1),"")</f>
        <v>0</v>
      </c>
      <c r="AW1001" s="899">
        <f t="shared" si="112"/>
        <v>0</v>
      </c>
      <c r="AX1001" s="899">
        <f>INDEX(V1001:AG1001,1,MATCH(Parametres!$B$3,V$1:AG$1,0))*IF(OR(C1001="L",C1001="S",C1001="I"),-1,1)</f>
        <v>0</v>
      </c>
      <c r="AY1001" s="487" t="s">
        <v>337</v>
      </c>
      <c r="AZ1001" s="487" t="e">
        <f>+VLOOKUP($AJ1001,Data_Validation!$A:$E,5,0)</f>
        <v>#N/A</v>
      </c>
    </row>
    <row r="1002" spans="36:52" ht="15" hidden="1" customHeight="1">
      <c r="AJ1002" s="905">
        <f t="shared" si="107"/>
        <v>0</v>
      </c>
      <c r="AK1002" s="905">
        <f t="shared" si="108"/>
        <v>0</v>
      </c>
      <c r="AL1002" s="905">
        <f>IFERROR(INDEX(G1002:R1002,1,MATCH(Parametres!$B$3,G$1:R$1,0)-1)*IF(OR(F1002="L",F1002="S",F1002="I"),-1,1),"")</f>
        <v>0</v>
      </c>
      <c r="AM1002" s="905">
        <f t="shared" si="109"/>
        <v>0</v>
      </c>
      <c r="AN1002" s="1050">
        <f>INDEX(G1002:R1002,1,MATCH(Parametres!$B$3,G$1:R$1,0))*IF(OR(F1002="L",F1002="S",F1002="I"),-1,1)</f>
        <v>0</v>
      </c>
      <c r="AO1002" s="487" t="e">
        <f>+VLOOKUP($AJ1002,Data_Validation!$A:$D,1,0)</f>
        <v>#N/A</v>
      </c>
      <c r="AP1002" s="487" t="e">
        <f>+VLOOKUP($AJ1002,Data_Validation!$A:$D,3,0)</f>
        <v>#N/A</v>
      </c>
      <c r="AQ1002" s="487" t="e">
        <f>+VLOOKUP($AJ1002,Data_Validation!$A:$D,4,0)</f>
        <v>#N/A</v>
      </c>
      <c r="AR1002" s="487" t="s">
        <v>299</v>
      </c>
      <c r="AS1002" s="487" t="e">
        <f>+VLOOKUP($AJ1002,Data_Validation!$A:$E,5,0)</f>
        <v>#N/A</v>
      </c>
      <c r="AT1002" s="904">
        <f t="shared" si="110"/>
        <v>0</v>
      </c>
      <c r="AU1002" s="488">
        <f t="shared" si="111"/>
        <v>0</v>
      </c>
      <c r="AV1002" s="899">
        <f>IFERROR(INDEX(V1002:AG1002,1,MATCH(Parametres!$B$3,V$1:AG$1,0)-1)*IF(OR(C1002="L",C1002="S",C1002="I"),-1,1),"")</f>
        <v>0</v>
      </c>
      <c r="AW1002" s="899">
        <f t="shared" si="112"/>
        <v>0</v>
      </c>
      <c r="AX1002" s="899">
        <f>INDEX(V1002:AG1002,1,MATCH(Parametres!$B$3,V$1:AG$1,0))*IF(OR(C1002="L",C1002="S",C1002="I"),-1,1)</f>
        <v>0</v>
      </c>
      <c r="AY1002" s="487" t="s">
        <v>337</v>
      </c>
      <c r="AZ1002" s="487" t="e">
        <f>+VLOOKUP($AJ1002,Data_Validation!$A:$E,5,0)</f>
        <v>#N/A</v>
      </c>
    </row>
    <row r="1003" spans="36:52" ht="15" hidden="1" customHeight="1">
      <c r="AJ1003" s="905">
        <f t="shared" si="107"/>
        <v>0</v>
      </c>
      <c r="AK1003" s="905">
        <f t="shared" si="108"/>
        <v>0</v>
      </c>
      <c r="AL1003" s="905">
        <f>IFERROR(INDEX(G1003:R1003,1,MATCH(Parametres!$B$3,G$1:R$1,0)-1)*IF(OR(F1003="L",F1003="S",F1003="I"),-1,1),"")</f>
        <v>0</v>
      </c>
      <c r="AM1003" s="905">
        <f t="shared" si="109"/>
        <v>0</v>
      </c>
      <c r="AN1003" s="1050">
        <f>INDEX(G1003:R1003,1,MATCH(Parametres!$B$3,G$1:R$1,0))*IF(OR(F1003="L",F1003="S",F1003="I"),-1,1)</f>
        <v>0</v>
      </c>
      <c r="AO1003" s="487" t="e">
        <f>+VLOOKUP($AJ1003,Data_Validation!$A:$D,1,0)</f>
        <v>#N/A</v>
      </c>
      <c r="AP1003" s="487" t="e">
        <f>+VLOOKUP($AJ1003,Data_Validation!$A:$D,3,0)</f>
        <v>#N/A</v>
      </c>
      <c r="AQ1003" s="487" t="e">
        <f>+VLOOKUP($AJ1003,Data_Validation!$A:$D,4,0)</f>
        <v>#N/A</v>
      </c>
      <c r="AR1003" s="487" t="s">
        <v>299</v>
      </c>
      <c r="AS1003" s="487" t="e">
        <f>+VLOOKUP($AJ1003,Data_Validation!$A:$E,5,0)</f>
        <v>#N/A</v>
      </c>
      <c r="AT1003" s="904">
        <f t="shared" si="110"/>
        <v>0</v>
      </c>
      <c r="AU1003" s="488">
        <f t="shared" si="111"/>
        <v>0</v>
      </c>
      <c r="AV1003" s="899">
        <f>IFERROR(INDEX(V1003:AG1003,1,MATCH(Parametres!$B$3,V$1:AG$1,0)-1)*IF(OR(C1003="L",C1003="S",C1003="I"),-1,1),"")</f>
        <v>0</v>
      </c>
      <c r="AW1003" s="899">
        <f t="shared" si="112"/>
        <v>0</v>
      </c>
      <c r="AX1003" s="899">
        <f>INDEX(V1003:AG1003,1,MATCH(Parametres!$B$3,V$1:AG$1,0))*IF(OR(C1003="L",C1003="S",C1003="I"),-1,1)</f>
        <v>0</v>
      </c>
      <c r="AY1003" s="487" t="s">
        <v>337</v>
      </c>
      <c r="AZ1003" s="487" t="e">
        <f>+VLOOKUP($AJ1003,Data_Validation!$A:$E,5,0)</f>
        <v>#N/A</v>
      </c>
    </row>
    <row r="1004" spans="36:52" ht="15" hidden="1" customHeight="1">
      <c r="AJ1004" s="905">
        <f t="shared" si="107"/>
        <v>0</v>
      </c>
      <c r="AK1004" s="905">
        <f t="shared" si="108"/>
        <v>0</v>
      </c>
      <c r="AL1004" s="905">
        <f>IFERROR(INDEX(G1004:R1004,1,MATCH(Parametres!$B$3,G$1:R$1,0)-1)*IF(OR(F1004="L",F1004="S",F1004="I"),-1,1),"")</f>
        <v>0</v>
      </c>
      <c r="AM1004" s="905">
        <f t="shared" si="109"/>
        <v>0</v>
      </c>
      <c r="AN1004" s="905">
        <f>INDEX(G1004:R1004,1,MATCH(Parametres!$B$3,G$1:R$1,0))*IF(OR(F1004="L",F1004="S",F1004="I"),-1,1)</f>
        <v>0</v>
      </c>
      <c r="AO1004" s="487" t="e">
        <f>+VLOOKUP($AJ1004,Data_Validation!$A:$D,1,0)</f>
        <v>#N/A</v>
      </c>
      <c r="AP1004" s="487" t="e">
        <f>+VLOOKUP($AJ1004,Data_Validation!$A:$D,3,0)</f>
        <v>#N/A</v>
      </c>
      <c r="AQ1004" s="487" t="e">
        <f>+VLOOKUP($AJ1004,Data_Validation!$A:$D,4,0)</f>
        <v>#N/A</v>
      </c>
      <c r="AR1004" s="487" t="s">
        <v>299</v>
      </c>
      <c r="AS1004" s="487" t="e">
        <f>+VLOOKUP($AJ1004,Data_Validation!$A:$E,5,0)</f>
        <v>#N/A</v>
      </c>
      <c r="AT1004" s="904">
        <f t="shared" si="110"/>
        <v>0</v>
      </c>
      <c r="AU1004" s="488">
        <f t="shared" si="111"/>
        <v>0</v>
      </c>
      <c r="AV1004" s="899">
        <f>IFERROR(INDEX(V1004:AG1004,1,MATCH(Parametres!$B$3,V$1:AG$1,0)-1)*IF(OR(C1004="L",C1004="S",C1004="I"),-1,1),"")</f>
        <v>0</v>
      </c>
      <c r="AW1004" s="899">
        <f t="shared" si="112"/>
        <v>0</v>
      </c>
      <c r="AX1004" s="899">
        <f>INDEX(V1004:AG1004,1,MATCH(Parametres!$B$3,V$1:AG$1,0))*IF(OR(C1004="L",C1004="S",C1004="I"),-1,1)</f>
        <v>0</v>
      </c>
      <c r="AY1004" s="487" t="s">
        <v>337</v>
      </c>
      <c r="AZ1004" s="487" t="e">
        <f>+VLOOKUP($AJ1004,Data_Validation!$A:$E,5,0)</f>
        <v>#N/A</v>
      </c>
    </row>
    <row r="1005" spans="36:52" ht="15" hidden="1" customHeight="1">
      <c r="AJ1005" s="905">
        <f t="shared" si="107"/>
        <v>0</v>
      </c>
      <c r="AK1005" s="905">
        <f t="shared" si="108"/>
        <v>0</v>
      </c>
      <c r="AL1005" s="905">
        <f>IFERROR(INDEX(G1005:R1005,1,MATCH(Parametres!$B$3,G$1:R$1,0)-1)*IF(OR(F1005="L",F1005="S",F1005="I"),-1,1),"")</f>
        <v>0</v>
      </c>
      <c r="AM1005" s="905">
        <f t="shared" si="109"/>
        <v>0</v>
      </c>
      <c r="AN1005" s="905">
        <f>INDEX(G1005:R1005,1,MATCH(Parametres!$B$3,G$1:R$1,0))*IF(OR(F1005="L",F1005="S",F1005="I"),-1,1)</f>
        <v>0</v>
      </c>
      <c r="AO1005" s="487" t="e">
        <f>+VLOOKUP($AJ1005,Data_Validation!$A:$D,1,0)</f>
        <v>#N/A</v>
      </c>
      <c r="AP1005" s="487" t="e">
        <f>+VLOOKUP($AJ1005,Data_Validation!$A:$D,3,0)</f>
        <v>#N/A</v>
      </c>
      <c r="AQ1005" s="487" t="e">
        <f>+VLOOKUP($AJ1005,Data_Validation!$A:$D,4,0)</f>
        <v>#N/A</v>
      </c>
      <c r="AR1005" s="487" t="s">
        <v>299</v>
      </c>
      <c r="AS1005" s="487" t="e">
        <f>+VLOOKUP($AJ1005,Data_Validation!$A:$E,5,0)</f>
        <v>#N/A</v>
      </c>
      <c r="AT1005" s="904">
        <f t="shared" si="110"/>
        <v>0</v>
      </c>
      <c r="AU1005" s="488">
        <f t="shared" si="111"/>
        <v>0</v>
      </c>
      <c r="AV1005" s="899">
        <f>IFERROR(INDEX(V1005:AG1005,1,MATCH(Parametres!$B$3,V$1:AG$1,0)-1)*IF(OR(C1005="L",C1005="S",C1005="I"),-1,1),"")</f>
        <v>0</v>
      </c>
      <c r="AW1005" s="899">
        <f t="shared" si="112"/>
        <v>0</v>
      </c>
      <c r="AX1005" s="899">
        <f>INDEX(V1005:AG1005,1,MATCH(Parametres!$B$3,V$1:AG$1,0))*IF(OR(C1005="L",C1005="S",C1005="I"),-1,1)</f>
        <v>0</v>
      </c>
      <c r="AY1005" s="487" t="s">
        <v>337</v>
      </c>
      <c r="AZ1005" s="487" t="e">
        <f>+VLOOKUP($AJ1005,Data_Validation!$A:$E,5,0)</f>
        <v>#N/A</v>
      </c>
    </row>
    <row r="1006" spans="36:52" ht="15" hidden="1" customHeight="1">
      <c r="AJ1006" s="905">
        <f t="shared" si="107"/>
        <v>0</v>
      </c>
      <c r="AK1006" s="905">
        <f t="shared" si="108"/>
        <v>0</v>
      </c>
      <c r="AL1006" s="905">
        <f>IFERROR(INDEX(G1006:R1006,1,MATCH(Parametres!$B$3,G$1:R$1,0)-1)*IF(OR(F1006="L",F1006="S",F1006="I"),-1,1),"")</f>
        <v>0</v>
      </c>
      <c r="AM1006" s="905">
        <f t="shared" si="109"/>
        <v>0</v>
      </c>
      <c r="AN1006" s="905">
        <f>INDEX(G1006:R1006,1,MATCH(Parametres!$B$3,G$1:R$1,0))*IF(OR(F1006="L",F1006="S",F1006="I"),-1,1)</f>
        <v>0</v>
      </c>
      <c r="AO1006" s="487" t="e">
        <f>+VLOOKUP($AJ1006,Data_Validation!$A:$D,1,0)</f>
        <v>#N/A</v>
      </c>
      <c r="AP1006" s="487" t="e">
        <f>+VLOOKUP($AJ1006,Data_Validation!$A:$D,3,0)</f>
        <v>#N/A</v>
      </c>
      <c r="AQ1006" s="487" t="e">
        <f>+VLOOKUP($AJ1006,Data_Validation!$A:$D,4,0)</f>
        <v>#N/A</v>
      </c>
      <c r="AR1006" s="487" t="s">
        <v>299</v>
      </c>
      <c r="AS1006" s="487" t="e">
        <f>+VLOOKUP($AJ1006,Data_Validation!$A:$E,5,0)</f>
        <v>#N/A</v>
      </c>
      <c r="AT1006" s="904">
        <f t="shared" si="110"/>
        <v>0</v>
      </c>
      <c r="AU1006" s="488">
        <f t="shared" si="111"/>
        <v>0</v>
      </c>
      <c r="AV1006" s="899">
        <f>IFERROR(INDEX(V1006:AG1006,1,MATCH(Parametres!$B$3,V$1:AG$1,0)-1)*IF(OR(C1006="L",C1006="S",C1006="I"),-1,1),"")</f>
        <v>0</v>
      </c>
      <c r="AW1006" s="899">
        <f t="shared" si="112"/>
        <v>0</v>
      </c>
      <c r="AX1006" s="899">
        <f>INDEX(V1006:AG1006,1,MATCH(Parametres!$B$3,V$1:AG$1,0))*IF(OR(C1006="L",C1006="S",C1006="I"),-1,1)</f>
        <v>0</v>
      </c>
      <c r="AY1006" s="487" t="s">
        <v>337</v>
      </c>
      <c r="AZ1006" s="487" t="e">
        <f>+VLOOKUP($AJ1006,Data_Validation!$A:$E,5,0)</f>
        <v>#N/A</v>
      </c>
    </row>
    <row r="1007" spans="36:52" ht="15" hidden="1" customHeight="1">
      <c r="AJ1007" s="905">
        <f t="shared" si="107"/>
        <v>0</v>
      </c>
      <c r="AK1007" s="905">
        <f t="shared" si="108"/>
        <v>0</v>
      </c>
      <c r="AL1007" s="905">
        <f>IFERROR(INDEX(G1007:R1007,1,MATCH(Parametres!$B$3,G$1:R$1,0)-1)*IF(OR(F1007="L",F1007="S",F1007="I"),-1,1),"")</f>
        <v>0</v>
      </c>
      <c r="AM1007" s="905">
        <f t="shared" si="109"/>
        <v>0</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f t="shared" si="110"/>
        <v>0</v>
      </c>
      <c r="AU1007" s="488">
        <f t="shared" si="111"/>
        <v>0</v>
      </c>
      <c r="AV1007" s="899">
        <f>IFERROR(INDEX(V1007:AG1007,1,MATCH(Parametres!$B$3,V$1:AG$1,0)-1)*IF(OR(C1007="L",C1007="S",C1007="I"),-1,1),"")</f>
        <v>0</v>
      </c>
      <c r="AW1007" s="899">
        <f t="shared" si="112"/>
        <v>0</v>
      </c>
      <c r="AX1007" s="899">
        <f>INDEX(V1007:AG1007,1,MATCH(Parametres!$B$3,V$1:AG$1,0))*IF(OR(C1007="L",C1007="S",C1007="I"),-1,1)</f>
        <v>0</v>
      </c>
      <c r="AY1007" s="487" t="s">
        <v>337</v>
      </c>
      <c r="AZ1007" s="487" t="e">
        <f>+VLOOKUP($AJ1007,Data_Validation!$A:$E,5,0)</f>
        <v>#N/A</v>
      </c>
    </row>
    <row r="1008" spans="36:52" ht="15" hidden="1" customHeight="1">
      <c r="AJ1008" s="905">
        <f t="shared" si="107"/>
        <v>0</v>
      </c>
      <c r="AK1008" s="905">
        <f t="shared" si="108"/>
        <v>0</v>
      </c>
      <c r="AL1008" s="905">
        <f>IFERROR(INDEX(G1008:R1008,1,MATCH(Parametres!$B$3,G$1:R$1,0)-1)*IF(OR(F1008="L",F1008="S",F1008="I"),-1,1),"")</f>
        <v>0</v>
      </c>
      <c r="AM1008" s="905">
        <f t="shared" si="109"/>
        <v>0</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f t="shared" si="110"/>
        <v>0</v>
      </c>
      <c r="AU1008" s="488">
        <f t="shared" si="111"/>
        <v>0</v>
      </c>
      <c r="AV1008" s="899">
        <f>IFERROR(INDEX(V1008:AG1008,1,MATCH(Parametres!$B$3,V$1:AG$1,0)-1)*IF(OR(C1008="L",C1008="S",C1008="I"),-1,1),"")</f>
        <v>0</v>
      </c>
      <c r="AW1008" s="899">
        <f t="shared" si="112"/>
        <v>0</v>
      </c>
      <c r="AX1008" s="899">
        <f>INDEX(V1008:AG1008,1,MATCH(Parametres!$B$3,V$1:AG$1,0))*IF(OR(C1008="L",C1008="S",C1008="I"),-1,1)</f>
        <v>0</v>
      </c>
      <c r="AY1008" s="487" t="s">
        <v>337</v>
      </c>
      <c r="AZ1008" s="487" t="e">
        <f>+VLOOKUP($AJ1008,Data_Validation!$A:$E,5,0)</f>
        <v>#N/A</v>
      </c>
    </row>
    <row r="1009" spans="1:52" ht="15" hidden="1" customHeight="1">
      <c r="AJ1009" s="905">
        <f t="shared" si="107"/>
        <v>0</v>
      </c>
      <c r="AK1009" s="905">
        <f t="shared" si="108"/>
        <v>0</v>
      </c>
      <c r="AL1009" s="905">
        <f>IFERROR(INDEX(G1009:R1009,1,MATCH(Parametres!$B$3,G$1:R$1,0)-1)*IF(OR(F1009="L",F1009="S",F1009="I"),-1,1),"")</f>
        <v>0</v>
      </c>
      <c r="AM1009" s="905">
        <f t="shared" si="109"/>
        <v>0</v>
      </c>
      <c r="AN1009" s="905">
        <f>INDEX(G1009:R1009,1,MATCH(Parametres!$B$3,G$1:R$1,0))*IF(OR(F1009="L",F1009="S",F1009="I"),-1,1)</f>
        <v>0</v>
      </c>
      <c r="AO1009" s="487" t="e">
        <f>+VLOOKUP($AJ1009,Data_Validation!$A:$D,1,0)</f>
        <v>#N/A</v>
      </c>
      <c r="AP1009" s="487" t="e">
        <f>+VLOOKUP($AJ1009,Data_Validation!$A:$D,3,0)</f>
        <v>#N/A</v>
      </c>
      <c r="AQ1009" s="487" t="e">
        <f>+VLOOKUP($AJ1009,Data_Validation!$A:$D,4,0)</f>
        <v>#N/A</v>
      </c>
      <c r="AR1009" s="487" t="s">
        <v>299</v>
      </c>
      <c r="AS1009" s="487" t="e">
        <f>+VLOOKUP($AJ1009,Data_Validation!$A:$E,5,0)</f>
        <v>#N/A</v>
      </c>
      <c r="AT1009" s="904">
        <f t="shared" si="110"/>
        <v>0</v>
      </c>
      <c r="AU1009" s="488">
        <f t="shared" si="111"/>
        <v>0</v>
      </c>
      <c r="AV1009" s="899">
        <f>IFERROR(INDEX(V1009:AG1009,1,MATCH(Parametres!$B$3,V$1:AG$1,0)-1)*IF(OR(C1009="L",C1009="S",C1009="I"),-1,1),"")</f>
        <v>0</v>
      </c>
      <c r="AW1009" s="899">
        <f t="shared" si="112"/>
        <v>0</v>
      </c>
      <c r="AX1009" s="899">
        <f>INDEX(V1009:AG1009,1,MATCH(Parametres!$B$3,V$1:AG$1,0))*IF(OR(C1009="L",C1009="S",C1009="I"),-1,1)</f>
        <v>0</v>
      </c>
      <c r="AY1009" s="487" t="s">
        <v>337</v>
      </c>
      <c r="AZ1009" s="487" t="e">
        <f>+VLOOKUP($AJ1009,Data_Validation!$A:$E,5,0)</f>
        <v>#N/A</v>
      </c>
    </row>
    <row r="1010" spans="1:52" ht="15" hidden="1" customHeight="1">
      <c r="AJ1010" s="905">
        <f t="shared" si="107"/>
        <v>0</v>
      </c>
      <c r="AK1010" s="905">
        <f t="shared" si="108"/>
        <v>0</v>
      </c>
      <c r="AL1010" s="905">
        <f>IFERROR(INDEX(G1010:R1010,1,MATCH(Parametres!$B$3,G$1:R$1,0)-1)*IF(OR(F1010="L",F1010="S",F1010="I"),-1,1),"")</f>
        <v>0</v>
      </c>
      <c r="AM1010" s="905">
        <f t="shared" si="109"/>
        <v>0</v>
      </c>
      <c r="AN1010" s="905">
        <f>INDEX(G1010:R1010,1,MATCH(Parametres!$B$3,G$1:R$1,0))*IF(OR(F1010="L",F1010="S",F1010="I"),-1,1)</f>
        <v>0</v>
      </c>
      <c r="AO1010" s="487" t="e">
        <f>+VLOOKUP($AJ1010,Data_Validation!$A:$D,1,0)</f>
        <v>#N/A</v>
      </c>
      <c r="AP1010" s="487" t="e">
        <f>+VLOOKUP($AJ1010,Data_Validation!$A:$D,3,0)</f>
        <v>#N/A</v>
      </c>
      <c r="AQ1010" s="487" t="e">
        <f>+VLOOKUP($AJ1010,Data_Validation!$A:$D,4,0)</f>
        <v>#N/A</v>
      </c>
      <c r="AR1010" s="487" t="s">
        <v>299</v>
      </c>
      <c r="AS1010" s="487" t="e">
        <f>+VLOOKUP($AJ1010,Data_Validation!$A:$E,5,0)</f>
        <v>#N/A</v>
      </c>
      <c r="AT1010" s="904">
        <f t="shared" si="110"/>
        <v>0</v>
      </c>
      <c r="AU1010" s="488">
        <f t="shared" si="111"/>
        <v>0</v>
      </c>
      <c r="AV1010" s="899">
        <f>IFERROR(INDEX(V1010:AG1010,1,MATCH(Parametres!$B$3,V$1:AG$1,0)-1)*IF(OR(C1010="L",C1010="S",C1010="I"),-1,1),"")</f>
        <v>0</v>
      </c>
      <c r="AW1010" s="899">
        <f t="shared" si="112"/>
        <v>0</v>
      </c>
      <c r="AX1010" s="899">
        <f>INDEX(V1010:AG1010,1,MATCH(Parametres!$B$3,V$1:AG$1,0))*IF(OR(C1010="L",C1010="S",C1010="I"),-1,1)</f>
        <v>0</v>
      </c>
      <c r="AY1010" s="487" t="s">
        <v>337</v>
      </c>
      <c r="AZ1010" s="487" t="e">
        <f>+VLOOKUP($AJ1010,Data_Validation!$A:$E,5,0)</f>
        <v>#N/A</v>
      </c>
    </row>
    <row r="1011" spans="1:52" ht="15" customHeight="1">
      <c r="A1011" s="706" t="s">
        <v>1148</v>
      </c>
      <c r="B1011" s="706">
        <v>2026</v>
      </c>
      <c r="C1011" s="706" t="s">
        <v>3097</v>
      </c>
      <c r="D1011" s="706" t="s">
        <v>1784</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7"/>
        <v>G99960</v>
      </c>
      <c r="AK1011" s="905" t="str">
        <f t="shared" si="108"/>
        <v>IN &amp; OUT PAYROLL</v>
      </c>
      <c r="AL1011" s="905">
        <f>IFERROR(INDEX(G1011:R1011,1,MATCH(Parametres!$B$3,G$1:R$1,0)-1)*IF(OR(F1011="L",F1011="S",F1011="I"),-1,1),"")</f>
        <v>0</v>
      </c>
      <c r="AM1011" s="905">
        <f t="shared" si="109"/>
        <v>0</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10"/>
        <v>G99960</v>
      </c>
      <c r="AU1011" s="488" t="str">
        <f t="shared" si="111"/>
        <v>IN &amp; OUT PAYROLL</v>
      </c>
      <c r="AV1011" s="899">
        <f>IFERROR(INDEX(V1011:AG1011,1,MATCH(Parametres!$B$3,V$1:AG$1,0)-1)*IF(OR(C1011="L",C1011="S",C1011="I"),-1,1),"")</f>
        <v>0</v>
      </c>
      <c r="AW1011" s="899">
        <f t="shared" si="112"/>
        <v>0</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3098</v>
      </c>
      <c r="D1012" s="706" t="s">
        <v>3099</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7"/>
        <v>G9999</v>
      </c>
      <c r="AK1012" s="905" t="str">
        <f t="shared" si="108"/>
        <v>CHARGES A REFACTURER</v>
      </c>
      <c r="AL1012" s="905">
        <f>IFERROR(INDEX(G1012:R1012,1,MATCH(Parametres!$B$3,G$1:R$1,0)-1)*IF(OR(F1012="L",F1012="S",F1012="I"),-1,1),"")</f>
        <v>0</v>
      </c>
      <c r="AM1012" s="905">
        <f t="shared" si="109"/>
        <v>0</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10"/>
        <v>G9999</v>
      </c>
      <c r="AU1012" s="488" t="str">
        <f t="shared" si="111"/>
        <v>CHARGES A REFACTURER</v>
      </c>
      <c r="AV1012" s="899">
        <f>IFERROR(INDEX(V1012:AG1012,1,MATCH(Parametres!$B$3,V$1:AG$1,0)-1)*IF(OR(C1012="L",C1012="S",C1012="I"),-1,1),"")</f>
        <v>0</v>
      </c>
      <c r="AW1012" s="899">
        <f t="shared" si="112"/>
        <v>0</v>
      </c>
      <c r="AX1012" s="899">
        <f>INDEX(V1012:AG1012,1,MATCH(Parametres!$B$3,V$1:AG$1,0))*IF(OR(C1012="L",C1012="S",C1012="I"),-1,1)</f>
        <v>0</v>
      </c>
      <c r="AY1012" s="487" t="s">
        <v>337</v>
      </c>
      <c r="AZ1012" s="487">
        <f>+VLOOKUP($AJ1012,Data_Validation!$A:$E,5,0)</f>
        <v>0</v>
      </c>
    </row>
    <row r="1013" spans="1:52" ht="15" hidden="1" customHeight="1">
      <c r="AJ1013" s="905">
        <f t="shared" ref="AJ1013:AJ1076" si="113">C1013</f>
        <v>0</v>
      </c>
      <c r="AK1013" s="905">
        <f t="shared" ref="AK1013:AK1076" si="114">D1013</f>
        <v>0</v>
      </c>
      <c r="AL1013" s="905">
        <f>IFERROR(INDEX(G1013:R1013,1,MATCH(Parametres!$B$3,G$1:R$1,0)-1)*IF(OR(F1013="L",F1013="S",F1013="I"),-1,1),"")</f>
        <v>0</v>
      </c>
      <c r="AM1013" s="905">
        <f t="shared" ref="AM1013:AM1076" si="115">AN1013-AL1013</f>
        <v>0</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6">C1013</f>
        <v>0</v>
      </c>
      <c r="AU1013" s="488">
        <f t="shared" ref="AU1013:AU1076" si="117">D1013</f>
        <v>0</v>
      </c>
      <c r="AV1013" s="899">
        <f>IFERROR(INDEX(V1013:AG1013,1,MATCH(Parametres!$B$3,V$1:AG$1,0)-1)*IF(OR(C1013="L",C1013="S",C1013="I"),-1,1),"")</f>
        <v>0</v>
      </c>
      <c r="AW1013" s="899">
        <f t="shared" ref="AW1013:AW1076" si="118">AX1013-AV1013</f>
        <v>0</v>
      </c>
      <c r="AX1013" s="899">
        <f>INDEX(V1013:AG1013,1,MATCH(Parametres!$B$3,V$1:AG$1,0))*IF(OR(C1013="L",C1013="S",C1013="I"),-1,1)</f>
        <v>0</v>
      </c>
      <c r="AY1013" s="487" t="s">
        <v>337</v>
      </c>
      <c r="AZ1013" s="487" t="e">
        <f>+VLOOKUP($AJ1013,Data_Validation!$A:$E,5,0)</f>
        <v>#N/A</v>
      </c>
    </row>
    <row r="1014" spans="1:52" ht="15" hidden="1" customHeight="1">
      <c r="AJ1014" s="905">
        <f t="shared" si="113"/>
        <v>0</v>
      </c>
      <c r="AK1014" s="905">
        <f t="shared" si="114"/>
        <v>0</v>
      </c>
      <c r="AL1014" s="905">
        <f>IFERROR(INDEX(G1014:R1014,1,MATCH(Parametres!$B$3,G$1:R$1,0)-1)*IF(OR(F1014="L",F1014="S",F1014="I"),-1,1),"")</f>
        <v>0</v>
      </c>
      <c r="AM1014" s="905">
        <f t="shared" si="115"/>
        <v>0</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6"/>
        <v>0</v>
      </c>
      <c r="AU1014" s="488">
        <f t="shared" si="117"/>
        <v>0</v>
      </c>
      <c r="AV1014" s="899">
        <f>IFERROR(INDEX(V1014:AG1014,1,MATCH(Parametres!$B$3,V$1:AG$1,0)-1)*IF(OR(C1014="L",C1014="S",C1014="I"),-1,1),"")</f>
        <v>0</v>
      </c>
      <c r="AW1014" s="899">
        <f t="shared" si="118"/>
        <v>0</v>
      </c>
      <c r="AX1014" s="899">
        <f>INDEX(V1014:AG1014,1,MATCH(Parametres!$B$3,V$1:AG$1,0))*IF(OR(C1014="L",C1014="S",C1014="I"),-1,1)</f>
        <v>0</v>
      </c>
      <c r="AY1014" s="487" t="s">
        <v>337</v>
      </c>
      <c r="AZ1014" s="487" t="e">
        <f>+VLOOKUP($AJ1014,Data_Validation!$A:$E,5,0)</f>
        <v>#N/A</v>
      </c>
    </row>
    <row r="1015" spans="1:52" ht="15" hidden="1" customHeight="1">
      <c r="AJ1015" s="905">
        <f t="shared" si="113"/>
        <v>0</v>
      </c>
      <c r="AK1015" s="905">
        <f t="shared" si="114"/>
        <v>0</v>
      </c>
      <c r="AL1015" s="905">
        <f>IFERROR(INDEX(G1015:R1015,1,MATCH(Parametres!$B$3,G$1:R$1,0)-1)*IF(OR(F1015="L",F1015="S",F1015="I"),-1,1),"")</f>
        <v>0</v>
      </c>
      <c r="AM1015" s="905">
        <f t="shared" si="115"/>
        <v>0</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6"/>
        <v>0</v>
      </c>
      <c r="AU1015" s="488">
        <f t="shared" si="117"/>
        <v>0</v>
      </c>
      <c r="AV1015" s="899">
        <f>IFERROR(INDEX(V1015:AG1015,1,MATCH(Parametres!$B$3,V$1:AG$1,0)-1)*IF(OR(C1015="L",C1015="S",C1015="I"),-1,1),"")</f>
        <v>0</v>
      </c>
      <c r="AW1015" s="899">
        <f t="shared" si="118"/>
        <v>0</v>
      </c>
      <c r="AX1015" s="899">
        <f>INDEX(V1015:AG1015,1,MATCH(Parametres!$B$3,V$1:AG$1,0))*IF(OR(C1015="L",C1015="S",C1015="I"),-1,1)</f>
        <v>0</v>
      </c>
      <c r="AY1015" s="487" t="s">
        <v>337</v>
      </c>
      <c r="AZ1015" s="487" t="e">
        <f>+VLOOKUP($AJ1015,Data_Validation!$A:$E,5,0)</f>
        <v>#N/A</v>
      </c>
    </row>
    <row r="1016" spans="1:52" ht="15" hidden="1" customHeight="1">
      <c r="AJ1016" s="905">
        <f t="shared" si="113"/>
        <v>0</v>
      </c>
      <c r="AK1016" s="905">
        <f t="shared" si="114"/>
        <v>0</v>
      </c>
      <c r="AL1016" s="905">
        <f>IFERROR(INDEX(G1016:R1016,1,MATCH(Parametres!$B$3,G$1:R$1,0)-1)*IF(OR(F1016="L",F1016="S",F1016="I"),-1,1),"")</f>
        <v>0</v>
      </c>
      <c r="AM1016" s="905">
        <f t="shared" si="115"/>
        <v>0</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6"/>
        <v>0</v>
      </c>
      <c r="AU1016" s="488">
        <f t="shared" si="117"/>
        <v>0</v>
      </c>
      <c r="AV1016" s="899">
        <f>IFERROR(INDEX(V1016:AG1016,1,MATCH(Parametres!$B$3,V$1:AG$1,0)-1)*IF(OR(C1016="L",C1016="S",C1016="I"),-1,1),"")</f>
        <v>0</v>
      </c>
      <c r="AW1016" s="899">
        <f t="shared" si="118"/>
        <v>0</v>
      </c>
      <c r="AX1016" s="899">
        <f>INDEX(V1016:AG1016,1,MATCH(Parametres!$B$3,V$1:AG$1,0))*IF(OR(C1016="L",C1016="S",C1016="I"),-1,1)</f>
        <v>0</v>
      </c>
      <c r="AY1016" s="487" t="s">
        <v>337</v>
      </c>
      <c r="AZ1016" s="487" t="e">
        <f>+VLOOKUP($AJ1016,Data_Validation!$A:$E,5,0)</f>
        <v>#N/A</v>
      </c>
    </row>
    <row r="1017" spans="1:52" ht="15" hidden="1" customHeight="1">
      <c r="AJ1017" s="905">
        <f t="shared" si="113"/>
        <v>0</v>
      </c>
      <c r="AK1017" s="905">
        <f t="shared" si="114"/>
        <v>0</v>
      </c>
      <c r="AL1017" s="905">
        <f>IFERROR(INDEX(G1017:R1017,1,MATCH(Parametres!$B$3,G$1:R$1,0)-1)*IF(OR(F1017="L",F1017="S",F1017="I"),-1,1),"")</f>
        <v>0</v>
      </c>
      <c r="AM1017" s="905">
        <f t="shared" si="115"/>
        <v>0</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6"/>
        <v>0</v>
      </c>
      <c r="AU1017" s="488">
        <f t="shared" si="117"/>
        <v>0</v>
      </c>
      <c r="AV1017" s="899">
        <f>IFERROR(INDEX(V1017:AG1017,1,MATCH(Parametres!$B$3,V$1:AG$1,0)-1)*IF(OR(C1017="L",C1017="S",C1017="I"),-1,1),"")</f>
        <v>0</v>
      </c>
      <c r="AW1017" s="899">
        <f t="shared" si="118"/>
        <v>0</v>
      </c>
      <c r="AX1017" s="899">
        <f>INDEX(V1017:AG1017,1,MATCH(Parametres!$B$3,V$1:AG$1,0))*IF(OR(C1017="L",C1017="S",C1017="I"),-1,1)</f>
        <v>0</v>
      </c>
      <c r="AY1017" s="487" t="s">
        <v>337</v>
      </c>
      <c r="AZ1017" s="487" t="e">
        <f>+VLOOKUP($AJ1017,Data_Validation!$A:$E,5,0)</f>
        <v>#N/A</v>
      </c>
    </row>
    <row r="1018" spans="1:52" ht="15" hidden="1" customHeight="1">
      <c r="AJ1018" s="905">
        <f t="shared" si="113"/>
        <v>0</v>
      </c>
      <c r="AK1018" s="905">
        <f t="shared" si="114"/>
        <v>0</v>
      </c>
      <c r="AL1018" s="905">
        <f>IFERROR(INDEX(G1018:R1018,1,MATCH(Parametres!$B$3,G$1:R$1,0)-1)*IF(OR(F1018="L",F1018="S",F1018="I"),-1,1),"")</f>
        <v>0</v>
      </c>
      <c r="AM1018" s="905">
        <f t="shared" si="115"/>
        <v>0</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6"/>
        <v>0</v>
      </c>
      <c r="AU1018" s="488">
        <f t="shared" si="117"/>
        <v>0</v>
      </c>
      <c r="AV1018" s="899">
        <f>IFERROR(INDEX(V1018:AG1018,1,MATCH(Parametres!$B$3,V$1:AG$1,0)-1)*IF(OR(C1018="L",C1018="S",C1018="I"),-1,1),"")</f>
        <v>0</v>
      </c>
      <c r="AW1018" s="899">
        <f t="shared" si="118"/>
        <v>0</v>
      </c>
      <c r="AX1018" s="899">
        <f>INDEX(V1018:AG1018,1,MATCH(Parametres!$B$3,V$1:AG$1,0))*IF(OR(C1018="L",C1018="S",C1018="I"),-1,1)</f>
        <v>0</v>
      </c>
      <c r="AY1018" s="487" t="s">
        <v>337</v>
      </c>
      <c r="AZ1018" s="487" t="e">
        <f>+VLOOKUP($AJ1018,Data_Validation!$A:$E,5,0)</f>
        <v>#N/A</v>
      </c>
    </row>
    <row r="1019" spans="1:52" ht="15" hidden="1" customHeight="1">
      <c r="AJ1019" s="905">
        <f t="shared" si="113"/>
        <v>0</v>
      </c>
      <c r="AK1019" s="905">
        <f t="shared" si="114"/>
        <v>0</v>
      </c>
      <c r="AL1019" s="905">
        <f>IFERROR(INDEX(G1019:R1019,1,MATCH(Parametres!$B$3,G$1:R$1,0)-1)*IF(OR(F1019="L",F1019="S",F1019="I"),-1,1),"")</f>
        <v>0</v>
      </c>
      <c r="AM1019" s="905">
        <f t="shared" si="115"/>
        <v>0</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6"/>
        <v>0</v>
      </c>
      <c r="AU1019" s="488">
        <f t="shared" si="117"/>
        <v>0</v>
      </c>
      <c r="AV1019" s="899">
        <f>IFERROR(INDEX(V1019:AG1019,1,MATCH(Parametres!$B$3,V$1:AG$1,0)-1)*IF(OR(C1019="L",C1019="S",C1019="I"),-1,1),"")</f>
        <v>0</v>
      </c>
      <c r="AW1019" s="899">
        <f t="shared" si="118"/>
        <v>0</v>
      </c>
      <c r="AX1019" s="899">
        <f>INDEX(V1019:AG1019,1,MATCH(Parametres!$B$3,V$1:AG$1,0))*IF(OR(C1019="L",C1019="S",C1019="I"),-1,1)</f>
        <v>0</v>
      </c>
      <c r="AY1019" s="487" t="s">
        <v>337</v>
      </c>
      <c r="AZ1019" s="487" t="e">
        <f>+VLOOKUP($AJ1019,Data_Validation!$A:$E,5,0)</f>
        <v>#N/A</v>
      </c>
    </row>
    <row r="1020" spans="1:52" ht="15" hidden="1" customHeight="1">
      <c r="AJ1020" s="905">
        <f t="shared" si="113"/>
        <v>0</v>
      </c>
      <c r="AK1020" s="905">
        <f t="shared" si="114"/>
        <v>0</v>
      </c>
      <c r="AL1020" s="905">
        <f>IFERROR(INDEX(G1020:R1020,1,MATCH(Parametres!$B$3,G$1:R$1,0)-1)*IF(OR(F1020="L",F1020="S",F1020="I"),-1,1),"")</f>
        <v>0</v>
      </c>
      <c r="AM1020" s="905">
        <f t="shared" si="115"/>
        <v>0</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6"/>
        <v>0</v>
      </c>
      <c r="AU1020" s="488">
        <f t="shared" si="117"/>
        <v>0</v>
      </c>
      <c r="AV1020" s="899">
        <f>IFERROR(INDEX(V1020:AG1020,1,MATCH(Parametres!$B$3,V$1:AG$1,0)-1)*IF(OR(C1020="L",C1020="S",C1020="I"),-1,1),"")</f>
        <v>0</v>
      </c>
      <c r="AW1020" s="899">
        <f t="shared" si="118"/>
        <v>0</v>
      </c>
      <c r="AX1020" s="899">
        <f>INDEX(V1020:AG1020,1,MATCH(Parametres!$B$3,V$1:AG$1,0))*IF(OR(C1020="L",C1020="S",C1020="I"),-1,1)</f>
        <v>0</v>
      </c>
      <c r="AY1020" s="487" t="s">
        <v>337</v>
      </c>
      <c r="AZ1020" s="487" t="e">
        <f>+VLOOKUP($AJ1020,Data_Validation!$A:$E,5,0)</f>
        <v>#N/A</v>
      </c>
    </row>
    <row r="1021" spans="1:52" ht="15" hidden="1" customHeight="1">
      <c r="AJ1021" s="905">
        <f t="shared" si="113"/>
        <v>0</v>
      </c>
      <c r="AK1021" s="905">
        <f t="shared" si="114"/>
        <v>0</v>
      </c>
      <c r="AL1021" s="905">
        <f>IFERROR(INDEX(G1021:R1021,1,MATCH(Parametres!$B$3,G$1:R$1,0)-1)*IF(OR(F1021="L",F1021="S",F1021="I"),-1,1),"")</f>
        <v>0</v>
      </c>
      <c r="AM1021" s="905">
        <f t="shared" si="115"/>
        <v>0</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6"/>
        <v>0</v>
      </c>
      <c r="AU1021" s="488">
        <f t="shared" si="117"/>
        <v>0</v>
      </c>
      <c r="AV1021" s="899">
        <f>IFERROR(INDEX(V1021:AG1021,1,MATCH(Parametres!$B$3,V$1:AG$1,0)-1)*IF(OR(C1021="L",C1021="S",C1021="I"),-1,1),"")</f>
        <v>0</v>
      </c>
      <c r="AW1021" s="899">
        <f t="shared" si="118"/>
        <v>0</v>
      </c>
      <c r="AX1021" s="899">
        <f>INDEX(V1021:AG1021,1,MATCH(Parametres!$B$3,V$1:AG$1,0))*IF(OR(C1021="L",C1021="S",C1021="I"),-1,1)</f>
        <v>0</v>
      </c>
      <c r="AY1021" s="487" t="s">
        <v>337</v>
      </c>
      <c r="AZ1021" s="487" t="e">
        <f>+VLOOKUP($AJ1021,Data_Validation!$A:$E,5,0)</f>
        <v>#N/A</v>
      </c>
    </row>
    <row r="1022" spans="1:52" ht="15" hidden="1" customHeight="1">
      <c r="AJ1022" s="905">
        <f t="shared" si="113"/>
        <v>0</v>
      </c>
      <c r="AK1022" s="905">
        <f t="shared" si="114"/>
        <v>0</v>
      </c>
      <c r="AL1022" s="905">
        <f>IFERROR(INDEX(G1022:R1022,1,MATCH(Parametres!$B$3,G$1:R$1,0)-1)*IF(OR(F1022="L",F1022="S",F1022="I"),-1,1),"")</f>
        <v>0</v>
      </c>
      <c r="AM1022" s="905">
        <f t="shared" si="115"/>
        <v>0</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6"/>
        <v>0</v>
      </c>
      <c r="AU1022" s="488">
        <f t="shared" si="117"/>
        <v>0</v>
      </c>
      <c r="AV1022" s="899">
        <f>IFERROR(INDEX(V1022:AG1022,1,MATCH(Parametres!$B$3,V$1:AG$1,0)-1)*IF(OR(C1022="L",C1022="S",C1022="I"),-1,1),"")</f>
        <v>0</v>
      </c>
      <c r="AW1022" s="899">
        <f t="shared" si="118"/>
        <v>0</v>
      </c>
      <c r="AX1022" s="899">
        <f>INDEX(V1022:AG1022,1,MATCH(Parametres!$B$3,V$1:AG$1,0))*IF(OR(C1022="L",C1022="S",C1022="I"),-1,1)</f>
        <v>0</v>
      </c>
      <c r="AY1022" s="487" t="s">
        <v>337</v>
      </c>
      <c r="AZ1022" s="487" t="e">
        <f>+VLOOKUP($AJ1022,Data_Validation!$A:$E,5,0)</f>
        <v>#N/A</v>
      </c>
    </row>
    <row r="1023" spans="1:52" ht="15" hidden="1" customHeight="1">
      <c r="AJ1023" s="905">
        <f t="shared" si="113"/>
        <v>0</v>
      </c>
      <c r="AK1023" s="905">
        <f t="shared" si="114"/>
        <v>0</v>
      </c>
      <c r="AL1023" s="905">
        <f>IFERROR(INDEX(G1023:R1023,1,MATCH(Parametres!$B$3,G$1:R$1,0)-1)*IF(OR(F1023="L",F1023="S",F1023="I"),-1,1),"")</f>
        <v>0</v>
      </c>
      <c r="AM1023" s="905">
        <f t="shared" si="115"/>
        <v>0</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6"/>
        <v>0</v>
      </c>
      <c r="AU1023" s="488">
        <f t="shared" si="117"/>
        <v>0</v>
      </c>
      <c r="AV1023" s="899">
        <f>IFERROR(INDEX(V1023:AG1023,1,MATCH(Parametres!$B$3,V$1:AG$1,0)-1)*IF(OR(C1023="L",C1023="S",C1023="I"),-1,1),"")</f>
        <v>0</v>
      </c>
      <c r="AW1023" s="899">
        <f t="shared" si="118"/>
        <v>0</v>
      </c>
      <c r="AX1023" s="899">
        <f>INDEX(V1023:AG1023,1,MATCH(Parametres!$B$3,V$1:AG$1,0))*IF(OR(C1023="L",C1023="S",C1023="I"),-1,1)</f>
        <v>0</v>
      </c>
      <c r="AY1023" s="487" t="s">
        <v>337</v>
      </c>
      <c r="AZ1023" s="487" t="e">
        <f>+VLOOKUP($AJ1023,Data_Validation!$A:$E,5,0)</f>
        <v>#N/A</v>
      </c>
    </row>
    <row r="1024" spans="1:52" ht="15" hidden="1" customHeight="1">
      <c r="AJ1024" s="905">
        <f t="shared" si="113"/>
        <v>0</v>
      </c>
      <c r="AK1024" s="905">
        <f t="shared" si="114"/>
        <v>0</v>
      </c>
      <c r="AL1024" s="905">
        <f>IFERROR(INDEX(G1024:R1024,1,MATCH(Parametres!$B$3,G$1:R$1,0)-1)*IF(OR(F1024="L",F1024="S",F1024="I"),-1,1),"")</f>
        <v>0</v>
      </c>
      <c r="AM1024" s="905">
        <f t="shared" si="115"/>
        <v>0</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6"/>
        <v>0</v>
      </c>
      <c r="AU1024" s="488">
        <f t="shared" si="117"/>
        <v>0</v>
      </c>
      <c r="AV1024" s="899">
        <f>IFERROR(INDEX(V1024:AG1024,1,MATCH(Parametres!$B$3,V$1:AG$1,0)-1)*IF(OR(C1024="L",C1024="S",C1024="I"),-1,1),"")</f>
        <v>0</v>
      </c>
      <c r="AW1024" s="899">
        <f t="shared" si="118"/>
        <v>0</v>
      </c>
      <c r="AX1024" s="899">
        <f>INDEX(V1024:AG1024,1,MATCH(Parametres!$B$3,V$1:AG$1,0))*IF(OR(C1024="L",C1024="S",C1024="I"),-1,1)</f>
        <v>0</v>
      </c>
      <c r="AY1024" s="487" t="s">
        <v>337</v>
      </c>
      <c r="AZ1024" s="487" t="e">
        <f>+VLOOKUP($AJ1024,Data_Validation!$A:$E,5,0)</f>
        <v>#N/A</v>
      </c>
    </row>
    <row r="1025" spans="36:52" ht="15" hidden="1" customHeight="1">
      <c r="AJ1025" s="905">
        <f t="shared" si="113"/>
        <v>0</v>
      </c>
      <c r="AK1025" s="905">
        <f t="shared" si="114"/>
        <v>0</v>
      </c>
      <c r="AL1025" s="905">
        <f>IFERROR(INDEX(G1025:R1025,1,MATCH(Parametres!$B$3,G$1:R$1,0)-1)*IF(OR(F1025="L",F1025="S",F1025="I"),-1,1),"")</f>
        <v>0</v>
      </c>
      <c r="AM1025" s="905">
        <f t="shared" si="115"/>
        <v>0</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6"/>
        <v>0</v>
      </c>
      <c r="AU1025" s="488">
        <f t="shared" si="117"/>
        <v>0</v>
      </c>
      <c r="AV1025" s="899">
        <f>IFERROR(INDEX(V1025:AG1025,1,MATCH(Parametres!$B$3,V$1:AG$1,0)-1)*IF(OR(C1025="L",C1025="S",C1025="I"),-1,1),"")</f>
        <v>0</v>
      </c>
      <c r="AW1025" s="899">
        <f t="shared" si="118"/>
        <v>0</v>
      </c>
      <c r="AX1025" s="899">
        <f>INDEX(V1025:AG1025,1,MATCH(Parametres!$B$3,V$1:AG$1,0))*IF(OR(C1025="L",C1025="S",C1025="I"),-1,1)</f>
        <v>0</v>
      </c>
      <c r="AY1025" s="487" t="s">
        <v>337</v>
      </c>
      <c r="AZ1025" s="487" t="e">
        <f>+VLOOKUP($AJ1025,Data_Validation!$A:$E,5,0)</f>
        <v>#N/A</v>
      </c>
    </row>
    <row r="1026" spans="36:52" ht="15" hidden="1" customHeight="1">
      <c r="AJ1026" s="905">
        <f t="shared" si="113"/>
        <v>0</v>
      </c>
      <c r="AK1026" s="905">
        <f t="shared" si="114"/>
        <v>0</v>
      </c>
      <c r="AL1026" s="905">
        <f>IFERROR(INDEX(G1026:R1026,1,MATCH(Parametres!$B$3,G$1:R$1,0)-1)*IF(OR(F1026="L",F1026="S",F1026="I"),-1,1),"")</f>
        <v>0</v>
      </c>
      <c r="AM1026" s="905">
        <f t="shared" si="115"/>
        <v>0</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6"/>
        <v>0</v>
      </c>
      <c r="AU1026" s="488">
        <f t="shared" si="117"/>
        <v>0</v>
      </c>
      <c r="AV1026" s="899">
        <f>IFERROR(INDEX(V1026:AG1026,1,MATCH(Parametres!$B$3,V$1:AG$1,0)-1)*IF(OR(C1026="L",C1026="S",C1026="I"),-1,1),"")</f>
        <v>0</v>
      </c>
      <c r="AW1026" s="899">
        <f t="shared" si="118"/>
        <v>0</v>
      </c>
      <c r="AX1026" s="899">
        <f>INDEX(V1026:AG1026,1,MATCH(Parametres!$B$3,V$1:AG$1,0))*IF(OR(C1026="L",C1026="S",C1026="I"),-1,1)</f>
        <v>0</v>
      </c>
      <c r="AY1026" s="487" t="s">
        <v>337</v>
      </c>
      <c r="AZ1026" s="487" t="e">
        <f>+VLOOKUP($AJ1026,Data_Validation!$A:$E,5,0)</f>
        <v>#N/A</v>
      </c>
    </row>
    <row r="1027" spans="36:52" ht="15" hidden="1" customHeight="1">
      <c r="AJ1027" s="905">
        <f t="shared" si="113"/>
        <v>0</v>
      </c>
      <c r="AK1027" s="905">
        <f t="shared" si="114"/>
        <v>0</v>
      </c>
      <c r="AL1027" s="905">
        <f>IFERROR(INDEX(G1027:R1027,1,MATCH(Parametres!$B$3,G$1:R$1,0)-1)*IF(OR(F1027="L",F1027="S",F1027="I"),-1,1),"")</f>
        <v>0</v>
      </c>
      <c r="AM1027" s="905">
        <f t="shared" si="115"/>
        <v>0</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6"/>
        <v>0</v>
      </c>
      <c r="AU1027" s="488">
        <f t="shared" si="117"/>
        <v>0</v>
      </c>
      <c r="AV1027" s="899">
        <f>IFERROR(INDEX(V1027:AG1027,1,MATCH(Parametres!$B$3,V$1:AG$1,0)-1)*IF(OR(C1027="L",C1027="S",C1027="I"),-1,1),"")</f>
        <v>0</v>
      </c>
      <c r="AW1027" s="899">
        <f t="shared" si="118"/>
        <v>0</v>
      </c>
      <c r="AX1027" s="899">
        <f>INDEX(V1027:AG1027,1,MATCH(Parametres!$B$3,V$1:AG$1,0))*IF(OR(C1027="L",C1027="S",C1027="I"),-1,1)</f>
        <v>0</v>
      </c>
      <c r="AY1027" s="487" t="s">
        <v>337</v>
      </c>
      <c r="AZ1027" s="487" t="e">
        <f>+VLOOKUP($AJ1027,Data_Validation!$A:$E,5,0)</f>
        <v>#N/A</v>
      </c>
    </row>
    <row r="1028" spans="36:52" ht="15" hidden="1" customHeight="1">
      <c r="AJ1028" s="905">
        <f t="shared" si="113"/>
        <v>0</v>
      </c>
      <c r="AK1028" s="905">
        <f t="shared" si="114"/>
        <v>0</v>
      </c>
      <c r="AL1028" s="905">
        <f>IFERROR(INDEX(G1028:R1028,1,MATCH(Parametres!$B$3,G$1:R$1,0)-1)*IF(OR(F1028="L",F1028="S",F1028="I"),-1,1),"")</f>
        <v>0</v>
      </c>
      <c r="AM1028" s="905">
        <f t="shared" si="115"/>
        <v>0</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6"/>
        <v>0</v>
      </c>
      <c r="AU1028" s="488">
        <f t="shared" si="117"/>
        <v>0</v>
      </c>
      <c r="AV1028" s="899">
        <f>IFERROR(INDEX(V1028:AG1028,1,MATCH(Parametres!$B$3,V$1:AG$1,0)-1)*IF(OR(C1028="L",C1028="S",C1028="I"),-1,1),"")</f>
        <v>0</v>
      </c>
      <c r="AW1028" s="899">
        <f t="shared" si="118"/>
        <v>0</v>
      </c>
      <c r="AX1028" s="899">
        <f>INDEX(V1028:AG1028,1,MATCH(Parametres!$B$3,V$1:AG$1,0))*IF(OR(C1028="L",C1028="S",C1028="I"),-1,1)</f>
        <v>0</v>
      </c>
      <c r="AY1028" s="487" t="s">
        <v>337</v>
      </c>
      <c r="AZ1028" s="487" t="e">
        <f>+VLOOKUP($AJ1028,Data_Validation!$A:$E,5,0)</f>
        <v>#N/A</v>
      </c>
    </row>
    <row r="1029" spans="36:52" ht="15" hidden="1" customHeight="1">
      <c r="AJ1029" s="905">
        <f t="shared" si="113"/>
        <v>0</v>
      </c>
      <c r="AK1029" s="905">
        <f t="shared" si="114"/>
        <v>0</v>
      </c>
      <c r="AL1029" s="905">
        <f>IFERROR(INDEX(G1029:R1029,1,MATCH(Parametres!$B$3,G$1:R$1,0)-1)*IF(OR(F1029="L",F1029="S",F1029="I"),-1,1),"")</f>
        <v>0</v>
      </c>
      <c r="AM1029" s="905">
        <f t="shared" si="115"/>
        <v>0</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6"/>
        <v>0</v>
      </c>
      <c r="AU1029" s="488">
        <f t="shared" si="117"/>
        <v>0</v>
      </c>
      <c r="AV1029" s="899">
        <f>IFERROR(INDEX(V1029:AG1029,1,MATCH(Parametres!$B$3,V$1:AG$1,0)-1)*IF(OR(C1029="L",C1029="S",C1029="I"),-1,1),"")</f>
        <v>0</v>
      </c>
      <c r="AW1029" s="899">
        <f t="shared" si="118"/>
        <v>0</v>
      </c>
      <c r="AX1029" s="899">
        <f>INDEX(V1029:AG1029,1,MATCH(Parametres!$B$3,V$1:AG$1,0))*IF(OR(C1029="L",C1029="S",C1029="I"),-1,1)</f>
        <v>0</v>
      </c>
      <c r="AY1029" s="487" t="s">
        <v>337</v>
      </c>
      <c r="AZ1029" s="487" t="e">
        <f>+VLOOKUP($AJ1029,Data_Validation!$A:$E,5,0)</f>
        <v>#N/A</v>
      </c>
    </row>
    <row r="1030" spans="36:52" ht="15" hidden="1" customHeight="1">
      <c r="AJ1030" s="905">
        <f t="shared" si="113"/>
        <v>0</v>
      </c>
      <c r="AK1030" s="905">
        <f t="shared" si="114"/>
        <v>0</v>
      </c>
      <c r="AL1030" s="905">
        <f>IFERROR(INDEX(G1030:R1030,1,MATCH(Parametres!$B$3,G$1:R$1,0)-1)*IF(OR(F1030="L",F1030="S",F1030="I"),-1,1),"")</f>
        <v>0</v>
      </c>
      <c r="AM1030" s="905">
        <f t="shared" si="115"/>
        <v>0</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6"/>
        <v>0</v>
      </c>
      <c r="AU1030" s="488">
        <f t="shared" si="117"/>
        <v>0</v>
      </c>
      <c r="AV1030" s="899">
        <f>IFERROR(INDEX(V1030:AG1030,1,MATCH(Parametres!$B$3,V$1:AG$1,0)-1)*IF(OR(C1030="L",C1030="S",C1030="I"),-1,1),"")</f>
        <v>0</v>
      </c>
      <c r="AW1030" s="899">
        <f t="shared" si="118"/>
        <v>0</v>
      </c>
      <c r="AX1030" s="899">
        <f>INDEX(V1030:AG1030,1,MATCH(Parametres!$B$3,V$1:AG$1,0))*IF(OR(C1030="L",C1030="S",C1030="I"),-1,1)</f>
        <v>0</v>
      </c>
      <c r="AY1030" s="487" t="s">
        <v>337</v>
      </c>
      <c r="AZ1030" s="487" t="e">
        <f>+VLOOKUP($AJ1030,Data_Validation!$A:$E,5,0)</f>
        <v>#N/A</v>
      </c>
    </row>
    <row r="1031" spans="36:52" ht="15" hidden="1" customHeight="1">
      <c r="AJ1031" s="905">
        <f t="shared" si="113"/>
        <v>0</v>
      </c>
      <c r="AK1031" s="905">
        <f t="shared" si="114"/>
        <v>0</v>
      </c>
      <c r="AL1031" s="905">
        <f>IFERROR(INDEX(G1031:R1031,1,MATCH(Parametres!$B$3,G$1:R$1,0)-1)*IF(OR(F1031="L",F1031="S",F1031="I"),-1,1),"")</f>
        <v>0</v>
      </c>
      <c r="AM1031" s="905">
        <f t="shared" si="115"/>
        <v>0</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6"/>
        <v>0</v>
      </c>
      <c r="AU1031" s="488">
        <f t="shared" si="117"/>
        <v>0</v>
      </c>
      <c r="AV1031" s="899">
        <f>IFERROR(INDEX(V1031:AG1031,1,MATCH(Parametres!$B$3,V$1:AG$1,0)-1)*IF(OR(C1031="L",C1031="S",C1031="I"),-1,1),"")</f>
        <v>0</v>
      </c>
      <c r="AW1031" s="899">
        <f t="shared" si="118"/>
        <v>0</v>
      </c>
      <c r="AX1031" s="899">
        <f>INDEX(V1031:AG1031,1,MATCH(Parametres!$B$3,V$1:AG$1,0))*IF(OR(C1031="L",C1031="S",C1031="I"),-1,1)</f>
        <v>0</v>
      </c>
      <c r="AY1031" s="487" t="s">
        <v>337</v>
      </c>
      <c r="AZ1031" s="487" t="e">
        <f>+VLOOKUP($AJ1031,Data_Validation!$A:$E,5,0)</f>
        <v>#N/A</v>
      </c>
    </row>
    <row r="1032" spans="36:52" ht="15" hidden="1" customHeight="1">
      <c r="AJ1032" s="905">
        <f t="shared" si="113"/>
        <v>0</v>
      </c>
      <c r="AK1032" s="905">
        <f t="shared" si="114"/>
        <v>0</v>
      </c>
      <c r="AL1032" s="905">
        <f>IFERROR(INDEX(G1032:R1032,1,MATCH(Parametres!$B$3,G$1:R$1,0)-1)*IF(OR(F1032="L",F1032="S",F1032="I"),-1,1),"")</f>
        <v>0</v>
      </c>
      <c r="AM1032" s="905">
        <f t="shared" si="115"/>
        <v>0</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6"/>
        <v>0</v>
      </c>
      <c r="AU1032" s="488">
        <f t="shared" si="117"/>
        <v>0</v>
      </c>
      <c r="AV1032" s="899">
        <f>IFERROR(INDEX(V1032:AG1032,1,MATCH(Parametres!$B$3,V$1:AG$1,0)-1)*IF(OR(C1032="L",C1032="S",C1032="I"),-1,1),"")</f>
        <v>0</v>
      </c>
      <c r="AW1032" s="899">
        <f t="shared" si="118"/>
        <v>0</v>
      </c>
      <c r="AX1032" s="899">
        <f>INDEX(V1032:AG1032,1,MATCH(Parametres!$B$3,V$1:AG$1,0))*IF(OR(C1032="L",C1032="S",C1032="I"),-1,1)</f>
        <v>0</v>
      </c>
      <c r="AY1032" s="487" t="s">
        <v>337</v>
      </c>
      <c r="AZ1032" s="487" t="e">
        <f>+VLOOKUP($AJ1032,Data_Validation!$A:$E,5,0)</f>
        <v>#N/A</v>
      </c>
    </row>
    <row r="1033" spans="36:52" ht="15" hidden="1" customHeight="1">
      <c r="AJ1033" s="905">
        <f t="shared" si="113"/>
        <v>0</v>
      </c>
      <c r="AK1033" s="905">
        <f t="shared" si="114"/>
        <v>0</v>
      </c>
      <c r="AL1033" s="905">
        <f>IFERROR(INDEX(G1033:R1033,1,MATCH(Parametres!$B$3,G$1:R$1,0)-1)*IF(OR(F1033="L",F1033="S",F1033="I"),-1,1),"")</f>
        <v>0</v>
      </c>
      <c r="AM1033" s="905">
        <f t="shared" si="115"/>
        <v>0</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6"/>
        <v>0</v>
      </c>
      <c r="AU1033" s="488">
        <f t="shared" si="117"/>
        <v>0</v>
      </c>
      <c r="AV1033" s="899">
        <f>IFERROR(INDEX(V1033:AG1033,1,MATCH(Parametres!$B$3,V$1:AG$1,0)-1)*IF(OR(C1033="L",C1033="S",C1033="I"),-1,1),"")</f>
        <v>0</v>
      </c>
      <c r="AW1033" s="899">
        <f t="shared" si="118"/>
        <v>0</v>
      </c>
      <c r="AX1033" s="899">
        <f>INDEX(V1033:AG1033,1,MATCH(Parametres!$B$3,V$1:AG$1,0))*IF(OR(C1033="L",C1033="S",C1033="I"),-1,1)</f>
        <v>0</v>
      </c>
      <c r="AY1033" s="487" t="s">
        <v>337</v>
      </c>
      <c r="AZ1033" s="487" t="e">
        <f>+VLOOKUP($AJ1033,Data_Validation!$A:$E,5,0)</f>
        <v>#N/A</v>
      </c>
    </row>
    <row r="1034" spans="36:52" ht="15" hidden="1" customHeight="1">
      <c r="AJ1034" s="905">
        <f t="shared" si="113"/>
        <v>0</v>
      </c>
      <c r="AK1034" s="905">
        <f t="shared" si="114"/>
        <v>0</v>
      </c>
      <c r="AL1034" s="905">
        <f>IFERROR(INDEX(G1034:R1034,1,MATCH(Parametres!$B$3,G$1:R$1,0)-1)*IF(OR(F1034="L",F1034="S",F1034="I"),-1,1),"")</f>
        <v>0</v>
      </c>
      <c r="AM1034" s="905">
        <f t="shared" si="115"/>
        <v>0</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6"/>
        <v>0</v>
      </c>
      <c r="AU1034" s="488">
        <f t="shared" si="117"/>
        <v>0</v>
      </c>
      <c r="AV1034" s="899">
        <f>IFERROR(INDEX(V1034:AG1034,1,MATCH(Parametres!$B$3,V$1:AG$1,0)-1)*IF(OR(C1034="L",C1034="S",C1034="I"),-1,1),"")</f>
        <v>0</v>
      </c>
      <c r="AW1034" s="899">
        <f t="shared" si="118"/>
        <v>0</v>
      </c>
      <c r="AX1034" s="899">
        <f>INDEX(V1034:AG1034,1,MATCH(Parametres!$B$3,V$1:AG$1,0))*IF(OR(C1034="L",C1034="S",C1034="I"),-1,1)</f>
        <v>0</v>
      </c>
      <c r="AY1034" s="487" t="s">
        <v>337</v>
      </c>
      <c r="AZ1034" s="487" t="e">
        <f>+VLOOKUP($AJ1034,Data_Validation!$A:$E,5,0)</f>
        <v>#N/A</v>
      </c>
    </row>
    <row r="1035" spans="36:52" ht="15" hidden="1" customHeight="1">
      <c r="AJ1035" s="905">
        <f t="shared" si="113"/>
        <v>0</v>
      </c>
      <c r="AK1035" s="905">
        <f t="shared" si="114"/>
        <v>0</v>
      </c>
      <c r="AL1035" s="905">
        <f>IFERROR(INDEX(G1035:R1035,1,MATCH(Parametres!$B$3,G$1:R$1,0)-1)*IF(OR(F1035="L",F1035="S",F1035="I"),-1,1),"")</f>
        <v>0</v>
      </c>
      <c r="AM1035" s="905">
        <f t="shared" si="115"/>
        <v>0</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6"/>
        <v>0</v>
      </c>
      <c r="AU1035" s="488">
        <f t="shared" si="117"/>
        <v>0</v>
      </c>
      <c r="AV1035" s="899">
        <f>IFERROR(INDEX(V1035:AG1035,1,MATCH(Parametres!$B$3,V$1:AG$1,0)-1)*IF(OR(C1035="L",C1035="S",C1035="I"),-1,1),"")</f>
        <v>0</v>
      </c>
      <c r="AW1035" s="899">
        <f t="shared" si="118"/>
        <v>0</v>
      </c>
      <c r="AX1035" s="899">
        <f>INDEX(V1035:AG1035,1,MATCH(Parametres!$B$3,V$1:AG$1,0))*IF(OR(C1035="L",C1035="S",C1035="I"),-1,1)</f>
        <v>0</v>
      </c>
      <c r="AY1035" s="487" t="s">
        <v>337</v>
      </c>
      <c r="AZ1035" s="487" t="e">
        <f>+VLOOKUP($AJ1035,Data_Validation!$A:$E,5,0)</f>
        <v>#N/A</v>
      </c>
    </row>
    <row r="1036" spans="36:52" ht="15" hidden="1" customHeight="1">
      <c r="AJ1036" s="905">
        <f t="shared" si="113"/>
        <v>0</v>
      </c>
      <c r="AK1036" s="905">
        <f t="shared" si="114"/>
        <v>0</v>
      </c>
      <c r="AL1036" s="905">
        <f>IFERROR(INDEX(G1036:R1036,1,MATCH(Parametres!$B$3,G$1:R$1,0)-1)*IF(OR(F1036="L",F1036="S",F1036="I"),-1,1),"")</f>
        <v>0</v>
      </c>
      <c r="AM1036" s="905">
        <f t="shared" si="115"/>
        <v>0</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6"/>
        <v>0</v>
      </c>
      <c r="AU1036" s="488">
        <f t="shared" si="117"/>
        <v>0</v>
      </c>
      <c r="AV1036" s="899">
        <f>IFERROR(INDEX(V1036:AG1036,1,MATCH(Parametres!$B$3,V$1:AG$1,0)-1)*IF(OR(C1036="L",C1036="S",C1036="I"),-1,1),"")</f>
        <v>0</v>
      </c>
      <c r="AW1036" s="899">
        <f t="shared" si="118"/>
        <v>0</v>
      </c>
      <c r="AX1036" s="899">
        <f>INDEX(V1036:AG1036,1,MATCH(Parametres!$B$3,V$1:AG$1,0))*IF(OR(C1036="L",C1036="S",C1036="I"),-1,1)</f>
        <v>0</v>
      </c>
      <c r="AY1036" s="487" t="s">
        <v>337</v>
      </c>
      <c r="AZ1036" s="487" t="e">
        <f>+VLOOKUP($AJ1036,Data_Validation!$A:$E,5,0)</f>
        <v>#N/A</v>
      </c>
    </row>
    <row r="1037" spans="36:52" ht="15" hidden="1" customHeight="1">
      <c r="AJ1037" s="905">
        <f t="shared" si="113"/>
        <v>0</v>
      </c>
      <c r="AK1037" s="905">
        <f t="shared" si="114"/>
        <v>0</v>
      </c>
      <c r="AL1037" s="905">
        <f>IFERROR(INDEX(G1037:R1037,1,MATCH(Parametres!$B$3,G$1:R$1,0)-1)*IF(OR(F1037="L",F1037="S",F1037="I"),-1,1),"")</f>
        <v>0</v>
      </c>
      <c r="AM1037" s="905">
        <f t="shared" si="115"/>
        <v>0</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6"/>
        <v>0</v>
      </c>
      <c r="AU1037" s="488">
        <f t="shared" si="117"/>
        <v>0</v>
      </c>
      <c r="AV1037" s="899">
        <f>IFERROR(INDEX(V1037:AG1037,1,MATCH(Parametres!$B$3,V$1:AG$1,0)-1)*IF(OR(C1037="L",C1037="S",C1037="I"),-1,1),"")</f>
        <v>0</v>
      </c>
      <c r="AW1037" s="899">
        <f t="shared" si="118"/>
        <v>0</v>
      </c>
      <c r="AX1037" s="899">
        <f>INDEX(V1037:AG1037,1,MATCH(Parametres!$B$3,V$1:AG$1,0))*IF(OR(C1037="L",C1037="S",C1037="I"),-1,1)</f>
        <v>0</v>
      </c>
      <c r="AY1037" s="487" t="s">
        <v>337</v>
      </c>
      <c r="AZ1037" s="487" t="e">
        <f>+VLOOKUP($AJ1037,Data_Validation!$A:$E,5,0)</f>
        <v>#N/A</v>
      </c>
    </row>
    <row r="1038" spans="36:52" ht="15" hidden="1" customHeight="1">
      <c r="AJ1038" s="905">
        <f t="shared" si="113"/>
        <v>0</v>
      </c>
      <c r="AK1038" s="905">
        <f t="shared" si="114"/>
        <v>0</v>
      </c>
      <c r="AL1038" s="905">
        <f>IFERROR(INDEX(G1038:R1038,1,MATCH(Parametres!$B$3,G$1:R$1,0)-1)*IF(OR(F1038="L",F1038="S",F1038="I"),-1,1),"")</f>
        <v>0</v>
      </c>
      <c r="AM1038" s="905">
        <f t="shared" si="115"/>
        <v>0</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6"/>
        <v>0</v>
      </c>
      <c r="AU1038" s="488">
        <f t="shared" si="117"/>
        <v>0</v>
      </c>
      <c r="AV1038" s="899">
        <f>IFERROR(INDEX(V1038:AG1038,1,MATCH(Parametres!$B$3,V$1:AG$1,0)-1)*IF(OR(C1038="L",C1038="S",C1038="I"),-1,1),"")</f>
        <v>0</v>
      </c>
      <c r="AW1038" s="899">
        <f t="shared" si="118"/>
        <v>0</v>
      </c>
      <c r="AX1038" s="899">
        <f>INDEX(V1038:AG1038,1,MATCH(Parametres!$B$3,V$1:AG$1,0))*IF(OR(C1038="L",C1038="S",C1038="I"),-1,1)</f>
        <v>0</v>
      </c>
      <c r="AY1038" s="487" t="s">
        <v>337</v>
      </c>
      <c r="AZ1038" s="487" t="e">
        <f>+VLOOKUP($AJ1038,Data_Validation!$A:$E,5,0)</f>
        <v>#N/A</v>
      </c>
    </row>
    <row r="1039" spans="36:52" ht="15" hidden="1" customHeight="1">
      <c r="AJ1039" s="905">
        <f t="shared" si="113"/>
        <v>0</v>
      </c>
      <c r="AK1039" s="905">
        <f t="shared" si="114"/>
        <v>0</v>
      </c>
      <c r="AL1039" s="905">
        <f>IFERROR(INDEX(G1039:R1039,1,MATCH(Parametres!$B$3,G$1:R$1,0)-1)*IF(OR(F1039="L",F1039="S",F1039="I"),-1,1),"")</f>
        <v>0</v>
      </c>
      <c r="AM1039" s="905">
        <f t="shared" si="115"/>
        <v>0</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6"/>
        <v>0</v>
      </c>
      <c r="AU1039" s="488">
        <f t="shared" si="117"/>
        <v>0</v>
      </c>
      <c r="AV1039" s="899">
        <f>IFERROR(INDEX(V1039:AG1039,1,MATCH(Parametres!$B$3,V$1:AG$1,0)-1)*IF(OR(C1039="L",C1039="S",C1039="I"),-1,1),"")</f>
        <v>0</v>
      </c>
      <c r="AW1039" s="899">
        <f t="shared" si="118"/>
        <v>0</v>
      </c>
      <c r="AX1039" s="899">
        <f>INDEX(V1039:AG1039,1,MATCH(Parametres!$B$3,V$1:AG$1,0))*IF(OR(C1039="L",C1039="S",C1039="I"),-1,1)</f>
        <v>0</v>
      </c>
      <c r="AY1039" s="487" t="s">
        <v>337</v>
      </c>
      <c r="AZ1039" s="487" t="e">
        <f>+VLOOKUP($AJ1039,Data_Validation!$A:$E,5,0)</f>
        <v>#N/A</v>
      </c>
    </row>
    <row r="1040" spans="36:52" ht="15" hidden="1" customHeight="1">
      <c r="AJ1040" s="905">
        <f t="shared" si="113"/>
        <v>0</v>
      </c>
      <c r="AK1040" s="905">
        <f t="shared" si="114"/>
        <v>0</v>
      </c>
      <c r="AL1040" s="905">
        <f>IFERROR(INDEX(G1040:R1040,1,MATCH(Parametres!$B$3,G$1:R$1,0)-1)*IF(OR(F1040="L",F1040="S",F1040="I"),-1,1),"")</f>
        <v>0</v>
      </c>
      <c r="AM1040" s="905">
        <f t="shared" si="115"/>
        <v>0</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6"/>
        <v>0</v>
      </c>
      <c r="AU1040" s="488">
        <f t="shared" si="117"/>
        <v>0</v>
      </c>
      <c r="AV1040" s="899">
        <f>IFERROR(INDEX(V1040:AG1040,1,MATCH(Parametres!$B$3,V$1:AG$1,0)-1)*IF(OR(C1040="L",C1040="S",C1040="I"),-1,1),"")</f>
        <v>0</v>
      </c>
      <c r="AW1040" s="899">
        <f t="shared" si="118"/>
        <v>0</v>
      </c>
      <c r="AX1040" s="899">
        <f>INDEX(V1040:AG1040,1,MATCH(Parametres!$B$3,V$1:AG$1,0))*IF(OR(C1040="L",C1040="S",C1040="I"),-1,1)</f>
        <v>0</v>
      </c>
      <c r="AY1040" s="487" t="s">
        <v>337</v>
      </c>
      <c r="AZ1040" s="487" t="e">
        <f>+VLOOKUP($AJ1040,Data_Validation!$A:$E,5,0)</f>
        <v>#N/A</v>
      </c>
    </row>
    <row r="1041" spans="36:52" ht="15" hidden="1" customHeight="1">
      <c r="AJ1041" s="905">
        <f t="shared" si="113"/>
        <v>0</v>
      </c>
      <c r="AK1041" s="905">
        <f t="shared" si="114"/>
        <v>0</v>
      </c>
      <c r="AL1041" s="905">
        <f>IFERROR(INDEX(G1041:R1041,1,MATCH(Parametres!$B$3,G$1:R$1,0)-1)*IF(OR(F1041="L",F1041="S",F1041="I"),-1,1),"")</f>
        <v>0</v>
      </c>
      <c r="AM1041" s="905">
        <f t="shared" si="115"/>
        <v>0</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6"/>
        <v>0</v>
      </c>
      <c r="AU1041" s="488">
        <f t="shared" si="117"/>
        <v>0</v>
      </c>
      <c r="AV1041" s="899">
        <f>IFERROR(INDEX(V1041:AG1041,1,MATCH(Parametres!$B$3,V$1:AG$1,0)-1)*IF(OR(C1041="L",C1041="S",C1041="I"),-1,1),"")</f>
        <v>0</v>
      </c>
      <c r="AW1041" s="899">
        <f t="shared" si="118"/>
        <v>0</v>
      </c>
      <c r="AX1041" s="899">
        <f>INDEX(V1041:AG1041,1,MATCH(Parametres!$B$3,V$1:AG$1,0))*IF(OR(C1041="L",C1041="S",C1041="I"),-1,1)</f>
        <v>0</v>
      </c>
      <c r="AY1041" s="487" t="s">
        <v>337</v>
      </c>
      <c r="AZ1041" s="487" t="e">
        <f>+VLOOKUP($AJ1041,Data_Validation!$A:$E,5,0)</f>
        <v>#N/A</v>
      </c>
    </row>
    <row r="1042" spans="36:52" ht="15" hidden="1" customHeight="1">
      <c r="AJ1042" s="905">
        <f t="shared" si="113"/>
        <v>0</v>
      </c>
      <c r="AK1042" s="905">
        <f t="shared" si="114"/>
        <v>0</v>
      </c>
      <c r="AL1042" s="905">
        <f>IFERROR(INDEX(G1042:R1042,1,MATCH(Parametres!$B$3,G$1:R$1,0)-1)*IF(OR(F1042="L",F1042="S",F1042="I"),-1,1),"")</f>
        <v>0</v>
      </c>
      <c r="AM1042" s="905">
        <f t="shared" si="115"/>
        <v>0</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6"/>
        <v>0</v>
      </c>
      <c r="AU1042" s="488">
        <f t="shared" si="117"/>
        <v>0</v>
      </c>
      <c r="AV1042" s="899">
        <f>IFERROR(INDEX(V1042:AG1042,1,MATCH(Parametres!$B$3,V$1:AG$1,0)-1)*IF(OR(C1042="L",C1042="S",C1042="I"),-1,1),"")</f>
        <v>0</v>
      </c>
      <c r="AW1042" s="899">
        <f t="shared" si="118"/>
        <v>0</v>
      </c>
      <c r="AX1042" s="899">
        <f>INDEX(V1042:AG1042,1,MATCH(Parametres!$B$3,V$1:AG$1,0))*IF(OR(C1042="L",C1042="S",C1042="I"),-1,1)</f>
        <v>0</v>
      </c>
      <c r="AY1042" s="487" t="s">
        <v>337</v>
      </c>
      <c r="AZ1042" s="487" t="e">
        <f>+VLOOKUP($AJ1042,Data_Validation!$A:$E,5,0)</f>
        <v>#N/A</v>
      </c>
    </row>
    <row r="1043" spans="36:52" ht="15" hidden="1" customHeight="1">
      <c r="AJ1043" s="905">
        <f t="shared" si="113"/>
        <v>0</v>
      </c>
      <c r="AK1043" s="905">
        <f t="shared" si="114"/>
        <v>0</v>
      </c>
      <c r="AL1043" s="905">
        <f>IFERROR(INDEX(G1043:R1043,1,MATCH(Parametres!$B$3,G$1:R$1,0)-1)*IF(OR(F1043="L",F1043="S",F1043="I"),-1,1),"")</f>
        <v>0</v>
      </c>
      <c r="AM1043" s="905">
        <f t="shared" si="115"/>
        <v>0</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6"/>
        <v>0</v>
      </c>
      <c r="AU1043" s="488">
        <f t="shared" si="117"/>
        <v>0</v>
      </c>
      <c r="AV1043" s="899">
        <f>IFERROR(INDEX(V1043:AG1043,1,MATCH(Parametres!$B$3,V$1:AG$1,0)-1)*IF(OR(C1043="L",C1043="S",C1043="I"),-1,1),"")</f>
        <v>0</v>
      </c>
      <c r="AW1043" s="899">
        <f t="shared" si="118"/>
        <v>0</v>
      </c>
      <c r="AX1043" s="899">
        <f>INDEX(V1043:AG1043,1,MATCH(Parametres!$B$3,V$1:AG$1,0))*IF(OR(C1043="L",C1043="S",C1043="I"),-1,1)</f>
        <v>0</v>
      </c>
      <c r="AY1043" s="487" t="s">
        <v>337</v>
      </c>
      <c r="AZ1043" s="487" t="e">
        <f>+VLOOKUP($AJ1043,Data_Validation!$A:$E,5,0)</f>
        <v>#N/A</v>
      </c>
    </row>
    <row r="1044" spans="36:52" ht="15" hidden="1" customHeight="1">
      <c r="AJ1044" s="905">
        <f t="shared" si="113"/>
        <v>0</v>
      </c>
      <c r="AK1044" s="905">
        <f t="shared" si="114"/>
        <v>0</v>
      </c>
      <c r="AL1044" s="905">
        <f>IFERROR(INDEX(G1044:R1044,1,MATCH(Parametres!$B$3,G$1:R$1,0)-1)*IF(OR(F1044="L",F1044="S",F1044="I"),-1,1),"")</f>
        <v>0</v>
      </c>
      <c r="AM1044" s="905">
        <f t="shared" si="115"/>
        <v>0</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6"/>
        <v>0</v>
      </c>
      <c r="AU1044" s="488">
        <f t="shared" si="117"/>
        <v>0</v>
      </c>
      <c r="AV1044" s="899">
        <f>IFERROR(INDEX(V1044:AG1044,1,MATCH(Parametres!$B$3,V$1:AG$1,0)-1)*IF(OR(C1044="L",C1044="S",C1044="I"),-1,1),"")</f>
        <v>0</v>
      </c>
      <c r="AW1044" s="899">
        <f t="shared" si="118"/>
        <v>0</v>
      </c>
      <c r="AX1044" s="899">
        <f>INDEX(V1044:AG1044,1,MATCH(Parametres!$B$3,V$1:AG$1,0))*IF(OR(C1044="L",C1044="S",C1044="I"),-1,1)</f>
        <v>0</v>
      </c>
      <c r="AY1044" s="487" t="s">
        <v>337</v>
      </c>
      <c r="AZ1044" s="487" t="e">
        <f>+VLOOKUP($AJ1044,Data_Validation!$A:$E,5,0)</f>
        <v>#N/A</v>
      </c>
    </row>
    <row r="1045" spans="36:52" ht="15" hidden="1" customHeight="1">
      <c r="AJ1045" s="905">
        <f t="shared" si="113"/>
        <v>0</v>
      </c>
      <c r="AK1045" s="905">
        <f t="shared" si="114"/>
        <v>0</v>
      </c>
      <c r="AL1045" s="905">
        <f>IFERROR(INDEX(G1045:R1045,1,MATCH(Parametres!$B$3,G$1:R$1,0)-1)*IF(OR(F1045="L",F1045="S",F1045="I"),-1,1),"")</f>
        <v>0</v>
      </c>
      <c r="AM1045" s="905">
        <f t="shared" si="115"/>
        <v>0</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6"/>
        <v>0</v>
      </c>
      <c r="AU1045" s="488">
        <f t="shared" si="117"/>
        <v>0</v>
      </c>
      <c r="AV1045" s="899">
        <f>IFERROR(INDEX(V1045:AG1045,1,MATCH(Parametres!$B$3,V$1:AG$1,0)-1)*IF(OR(C1045="L",C1045="S",C1045="I"),-1,1),"")</f>
        <v>0</v>
      </c>
      <c r="AW1045" s="899">
        <f t="shared" si="118"/>
        <v>0</v>
      </c>
      <c r="AX1045" s="899">
        <f>INDEX(V1045:AG1045,1,MATCH(Parametres!$B$3,V$1:AG$1,0))*IF(OR(C1045="L",C1045="S",C1045="I"),-1,1)</f>
        <v>0</v>
      </c>
      <c r="AY1045" s="487" t="s">
        <v>337</v>
      </c>
      <c r="AZ1045" s="487" t="e">
        <f>+VLOOKUP($AJ1045,Data_Validation!$A:$E,5,0)</f>
        <v>#N/A</v>
      </c>
    </row>
    <row r="1046" spans="36:52" ht="15" hidden="1" customHeight="1">
      <c r="AJ1046" s="905">
        <f t="shared" si="113"/>
        <v>0</v>
      </c>
      <c r="AK1046" s="905">
        <f t="shared" si="114"/>
        <v>0</v>
      </c>
      <c r="AL1046" s="905">
        <f>IFERROR(INDEX(G1046:R1046,1,MATCH(Parametres!$B$3,G$1:R$1,0)-1)*IF(OR(F1046="L",F1046="S",F1046="I"),-1,1),"")</f>
        <v>0</v>
      </c>
      <c r="AM1046" s="905">
        <f t="shared" si="115"/>
        <v>0</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6"/>
        <v>0</v>
      </c>
      <c r="AU1046" s="488">
        <f t="shared" si="117"/>
        <v>0</v>
      </c>
      <c r="AV1046" s="899">
        <f>IFERROR(INDEX(V1046:AG1046,1,MATCH(Parametres!$B$3,V$1:AG$1,0)-1)*IF(OR(C1046="L",C1046="S",C1046="I"),-1,1),"")</f>
        <v>0</v>
      </c>
      <c r="AW1046" s="899">
        <f t="shared" si="118"/>
        <v>0</v>
      </c>
      <c r="AX1046" s="899">
        <f>INDEX(V1046:AG1046,1,MATCH(Parametres!$B$3,V$1:AG$1,0))*IF(OR(C1046="L",C1046="S",C1046="I"),-1,1)</f>
        <v>0</v>
      </c>
      <c r="AY1046" s="487" t="s">
        <v>337</v>
      </c>
      <c r="AZ1046" s="487" t="e">
        <f>+VLOOKUP($AJ1046,Data_Validation!$A:$E,5,0)</f>
        <v>#N/A</v>
      </c>
    </row>
    <row r="1047" spans="36:52" ht="15" hidden="1" customHeight="1">
      <c r="AJ1047" s="905">
        <f t="shared" si="113"/>
        <v>0</v>
      </c>
      <c r="AK1047" s="905">
        <f t="shared" si="114"/>
        <v>0</v>
      </c>
      <c r="AL1047" s="905">
        <f>IFERROR(INDEX(G1047:R1047,1,MATCH(Parametres!$B$3,G$1:R$1,0)-1)*IF(OR(F1047="L",F1047="S",F1047="I"),-1,1),"")</f>
        <v>0</v>
      </c>
      <c r="AM1047" s="905">
        <f t="shared" si="115"/>
        <v>0</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6"/>
        <v>0</v>
      </c>
      <c r="AU1047" s="488">
        <f t="shared" si="117"/>
        <v>0</v>
      </c>
      <c r="AV1047" s="899">
        <f>IFERROR(INDEX(V1047:AG1047,1,MATCH(Parametres!$B$3,V$1:AG$1,0)-1)*IF(OR(C1047="L",C1047="S",C1047="I"),-1,1),"")</f>
        <v>0</v>
      </c>
      <c r="AW1047" s="899">
        <f t="shared" si="118"/>
        <v>0</v>
      </c>
      <c r="AX1047" s="899">
        <f>INDEX(V1047:AG1047,1,MATCH(Parametres!$B$3,V$1:AG$1,0))*IF(OR(C1047="L",C1047="S",C1047="I"),-1,1)</f>
        <v>0</v>
      </c>
      <c r="AY1047" s="487" t="s">
        <v>337</v>
      </c>
      <c r="AZ1047" s="487" t="e">
        <f>+VLOOKUP($AJ1047,Data_Validation!$A:$E,5,0)</f>
        <v>#N/A</v>
      </c>
    </row>
    <row r="1048" spans="36:52" ht="15" hidden="1" customHeight="1">
      <c r="AJ1048" s="905">
        <f t="shared" si="113"/>
        <v>0</v>
      </c>
      <c r="AK1048" s="905">
        <f t="shared" si="114"/>
        <v>0</v>
      </c>
      <c r="AL1048" s="905">
        <f>IFERROR(INDEX(G1048:R1048,1,MATCH(Parametres!$B$3,G$1:R$1,0)-1)*IF(OR(F1048="L",F1048="S",F1048="I"),-1,1),"")</f>
        <v>0</v>
      </c>
      <c r="AM1048" s="905">
        <f t="shared" si="115"/>
        <v>0</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6"/>
        <v>0</v>
      </c>
      <c r="AU1048" s="488">
        <f t="shared" si="117"/>
        <v>0</v>
      </c>
      <c r="AV1048" s="899">
        <f>IFERROR(INDEX(V1048:AG1048,1,MATCH(Parametres!$B$3,V$1:AG$1,0)-1)*IF(OR(C1048="L",C1048="S",C1048="I"),-1,1),"")</f>
        <v>0</v>
      </c>
      <c r="AW1048" s="899">
        <f t="shared" si="118"/>
        <v>0</v>
      </c>
      <c r="AX1048" s="899">
        <f>INDEX(V1048:AG1048,1,MATCH(Parametres!$B$3,V$1:AG$1,0))*IF(OR(C1048="L",C1048="S",C1048="I"),-1,1)</f>
        <v>0</v>
      </c>
      <c r="AY1048" s="487" t="s">
        <v>337</v>
      </c>
      <c r="AZ1048" s="487" t="e">
        <f>+VLOOKUP($AJ1048,Data_Validation!$A:$E,5,0)</f>
        <v>#N/A</v>
      </c>
    </row>
    <row r="1049" spans="36:52" ht="15" hidden="1" customHeight="1">
      <c r="AJ1049" s="905">
        <f t="shared" si="113"/>
        <v>0</v>
      </c>
      <c r="AK1049" s="905">
        <f t="shared" si="114"/>
        <v>0</v>
      </c>
      <c r="AL1049" s="905">
        <f>IFERROR(INDEX(G1049:R1049,1,MATCH(Parametres!$B$3,G$1:R$1,0)-1)*IF(OR(F1049="L",F1049="S",F1049="I"),-1,1),"")</f>
        <v>0</v>
      </c>
      <c r="AM1049" s="905">
        <f t="shared" si="115"/>
        <v>0</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6"/>
        <v>0</v>
      </c>
      <c r="AU1049" s="488">
        <f t="shared" si="117"/>
        <v>0</v>
      </c>
      <c r="AV1049" s="899">
        <f>IFERROR(INDEX(V1049:AG1049,1,MATCH(Parametres!$B$3,V$1:AG$1,0)-1)*IF(OR(C1049="L",C1049="S",C1049="I"),-1,1),"")</f>
        <v>0</v>
      </c>
      <c r="AW1049" s="899">
        <f t="shared" si="118"/>
        <v>0</v>
      </c>
      <c r="AX1049" s="899">
        <f>INDEX(V1049:AG1049,1,MATCH(Parametres!$B$3,V$1:AG$1,0))*IF(OR(C1049="L",C1049="S",C1049="I"),-1,1)</f>
        <v>0</v>
      </c>
      <c r="AY1049" s="487" t="s">
        <v>337</v>
      </c>
      <c r="AZ1049" s="487" t="e">
        <f>+VLOOKUP($AJ1049,Data_Validation!$A:$E,5,0)</f>
        <v>#N/A</v>
      </c>
    </row>
    <row r="1050" spans="36:52" ht="15" hidden="1" customHeight="1">
      <c r="AJ1050" s="905">
        <f t="shared" si="113"/>
        <v>0</v>
      </c>
      <c r="AK1050" s="905">
        <f t="shared" si="114"/>
        <v>0</v>
      </c>
      <c r="AL1050" s="905">
        <f>IFERROR(INDEX(G1050:R1050,1,MATCH(Parametres!$B$3,G$1:R$1,0)-1)*IF(OR(F1050="L",F1050="S",F1050="I"),-1,1),"")</f>
        <v>0</v>
      </c>
      <c r="AM1050" s="905">
        <f t="shared" si="115"/>
        <v>0</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6"/>
        <v>0</v>
      </c>
      <c r="AU1050" s="488">
        <f t="shared" si="117"/>
        <v>0</v>
      </c>
      <c r="AV1050" s="899">
        <f>IFERROR(INDEX(V1050:AG1050,1,MATCH(Parametres!$B$3,V$1:AG$1,0)-1)*IF(OR(C1050="L",C1050="S",C1050="I"),-1,1),"")</f>
        <v>0</v>
      </c>
      <c r="AW1050" s="899">
        <f t="shared" si="118"/>
        <v>0</v>
      </c>
      <c r="AX1050" s="899">
        <f>INDEX(V1050:AG1050,1,MATCH(Parametres!$B$3,V$1:AG$1,0))*IF(OR(C1050="L",C1050="S",C1050="I"),-1,1)</f>
        <v>0</v>
      </c>
      <c r="AY1050" s="487" t="s">
        <v>337</v>
      </c>
      <c r="AZ1050" s="487" t="e">
        <f>+VLOOKUP($AJ1050,Data_Validation!$A:$E,5,0)</f>
        <v>#N/A</v>
      </c>
    </row>
    <row r="1051" spans="36:52" ht="15" hidden="1" customHeight="1">
      <c r="AJ1051" s="905">
        <f t="shared" si="113"/>
        <v>0</v>
      </c>
      <c r="AK1051" s="905">
        <f t="shared" si="114"/>
        <v>0</v>
      </c>
      <c r="AL1051" s="905">
        <f>IFERROR(INDEX(G1051:R1051,1,MATCH(Parametres!$B$3,G$1:R$1,0)-1)*IF(OR(F1051="L",F1051="S",F1051="I"),-1,1),"")</f>
        <v>0</v>
      </c>
      <c r="AM1051" s="905">
        <f t="shared" si="115"/>
        <v>0</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6"/>
        <v>0</v>
      </c>
      <c r="AU1051" s="488">
        <f t="shared" si="117"/>
        <v>0</v>
      </c>
      <c r="AV1051" s="899">
        <f>IFERROR(INDEX(V1051:AG1051,1,MATCH(Parametres!$B$3,V$1:AG$1,0)-1)*IF(OR(C1051="L",C1051="S",C1051="I"),-1,1),"")</f>
        <v>0</v>
      </c>
      <c r="AW1051" s="899">
        <f t="shared" si="118"/>
        <v>0</v>
      </c>
      <c r="AX1051" s="899">
        <f>INDEX(V1051:AG1051,1,MATCH(Parametres!$B$3,V$1:AG$1,0))*IF(OR(C1051="L",C1051="S",C1051="I"),-1,1)</f>
        <v>0</v>
      </c>
      <c r="AY1051" s="487" t="s">
        <v>337</v>
      </c>
      <c r="AZ1051" s="487" t="e">
        <f>+VLOOKUP($AJ1051,Data_Validation!$A:$E,5,0)</f>
        <v>#N/A</v>
      </c>
    </row>
    <row r="1052" spans="36:52" ht="15" hidden="1" customHeight="1">
      <c r="AJ1052" s="905">
        <f t="shared" si="113"/>
        <v>0</v>
      </c>
      <c r="AK1052" s="905">
        <f t="shared" si="114"/>
        <v>0</v>
      </c>
      <c r="AL1052" s="905">
        <f>IFERROR(INDEX(G1052:R1052,1,MATCH(Parametres!$B$3,G$1:R$1,0)-1)*IF(OR(F1052="L",F1052="S",F1052="I"),-1,1),"")</f>
        <v>0</v>
      </c>
      <c r="AM1052" s="905">
        <f t="shared" si="115"/>
        <v>0</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6"/>
        <v>0</v>
      </c>
      <c r="AU1052" s="488">
        <f t="shared" si="117"/>
        <v>0</v>
      </c>
      <c r="AV1052" s="899">
        <f>IFERROR(INDEX(V1052:AG1052,1,MATCH(Parametres!$B$3,V$1:AG$1,0)-1)*IF(OR(C1052="L",C1052="S",C1052="I"),-1,1),"")</f>
        <v>0</v>
      </c>
      <c r="AW1052" s="899">
        <f t="shared" si="118"/>
        <v>0</v>
      </c>
      <c r="AX1052" s="899">
        <f>INDEX(V1052:AG1052,1,MATCH(Parametres!$B$3,V$1:AG$1,0))*IF(OR(C1052="L",C1052="S",C1052="I"),-1,1)</f>
        <v>0</v>
      </c>
      <c r="AY1052" s="487" t="s">
        <v>337</v>
      </c>
      <c r="AZ1052" s="487" t="e">
        <f>+VLOOKUP($AJ1052,Data_Validation!$A:$E,5,0)</f>
        <v>#N/A</v>
      </c>
    </row>
    <row r="1053" spans="36:52" ht="15" hidden="1" customHeight="1">
      <c r="AJ1053" s="905">
        <f t="shared" si="113"/>
        <v>0</v>
      </c>
      <c r="AK1053" s="905">
        <f t="shared" si="114"/>
        <v>0</v>
      </c>
      <c r="AL1053" s="905">
        <f>IFERROR(INDEX(G1053:R1053,1,MATCH(Parametres!$B$3,G$1:R$1,0)-1)*IF(OR(F1053="L",F1053="S",F1053="I"),-1,1),"")</f>
        <v>0</v>
      </c>
      <c r="AM1053" s="905">
        <f t="shared" si="115"/>
        <v>0</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6"/>
        <v>0</v>
      </c>
      <c r="AU1053" s="488">
        <f t="shared" si="117"/>
        <v>0</v>
      </c>
      <c r="AV1053" s="899">
        <f>IFERROR(INDEX(V1053:AG1053,1,MATCH(Parametres!$B$3,V$1:AG$1,0)-1)*IF(OR(C1053="L",C1053="S",C1053="I"),-1,1),"")</f>
        <v>0</v>
      </c>
      <c r="AW1053" s="899">
        <f t="shared" si="118"/>
        <v>0</v>
      </c>
      <c r="AX1053" s="899">
        <f>INDEX(V1053:AG1053,1,MATCH(Parametres!$B$3,V$1:AG$1,0))*IF(OR(C1053="L",C1053="S",C1053="I"),-1,1)</f>
        <v>0</v>
      </c>
      <c r="AY1053" s="487" t="s">
        <v>337</v>
      </c>
      <c r="AZ1053" s="487" t="e">
        <f>+VLOOKUP($AJ1053,Data_Validation!$A:$E,5,0)</f>
        <v>#N/A</v>
      </c>
    </row>
    <row r="1054" spans="36:52" ht="15" hidden="1" customHeight="1">
      <c r="AJ1054" s="905">
        <f t="shared" si="113"/>
        <v>0</v>
      </c>
      <c r="AK1054" s="905">
        <f t="shared" si="114"/>
        <v>0</v>
      </c>
      <c r="AL1054" s="905">
        <f>IFERROR(INDEX(G1054:R1054,1,MATCH(Parametres!$B$3,G$1:R$1,0)-1)*IF(OR(F1054="L",F1054="S",F1054="I"),-1,1),"")</f>
        <v>0</v>
      </c>
      <c r="AM1054" s="905">
        <f t="shared" si="115"/>
        <v>0</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6"/>
        <v>0</v>
      </c>
      <c r="AU1054" s="488">
        <f t="shared" si="117"/>
        <v>0</v>
      </c>
      <c r="AV1054" s="899">
        <f>IFERROR(INDEX(V1054:AG1054,1,MATCH(Parametres!$B$3,V$1:AG$1,0)-1)*IF(OR(C1054="L",C1054="S",C1054="I"),-1,1),"")</f>
        <v>0</v>
      </c>
      <c r="AW1054" s="899">
        <f t="shared" si="118"/>
        <v>0</v>
      </c>
      <c r="AX1054" s="899">
        <f>INDEX(V1054:AG1054,1,MATCH(Parametres!$B$3,V$1:AG$1,0))*IF(OR(C1054="L",C1054="S",C1054="I"),-1,1)</f>
        <v>0</v>
      </c>
      <c r="AY1054" s="487" t="s">
        <v>337</v>
      </c>
      <c r="AZ1054" s="487" t="e">
        <f>+VLOOKUP($AJ1054,Data_Validation!$A:$E,5,0)</f>
        <v>#N/A</v>
      </c>
    </row>
    <row r="1055" spans="36:52" ht="15" hidden="1" customHeight="1">
      <c r="AJ1055" s="905">
        <f t="shared" si="113"/>
        <v>0</v>
      </c>
      <c r="AK1055" s="905">
        <f t="shared" si="114"/>
        <v>0</v>
      </c>
      <c r="AL1055" s="905">
        <f>IFERROR(INDEX(G1055:R1055,1,MATCH(Parametres!$B$3,G$1:R$1,0)-1)*IF(OR(F1055="L",F1055="S",F1055="I"),-1,1),"")</f>
        <v>0</v>
      </c>
      <c r="AM1055" s="905">
        <f t="shared" si="115"/>
        <v>0</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6"/>
        <v>0</v>
      </c>
      <c r="AU1055" s="488">
        <f t="shared" si="117"/>
        <v>0</v>
      </c>
      <c r="AV1055" s="899">
        <f>IFERROR(INDEX(V1055:AG1055,1,MATCH(Parametres!$B$3,V$1:AG$1,0)-1)*IF(OR(C1055="L",C1055="S",C1055="I"),-1,1),"")</f>
        <v>0</v>
      </c>
      <c r="AW1055" s="899">
        <f t="shared" si="118"/>
        <v>0</v>
      </c>
      <c r="AX1055" s="899">
        <f>INDEX(V1055:AG1055,1,MATCH(Parametres!$B$3,V$1:AG$1,0))*IF(OR(C1055="L",C1055="S",C1055="I"),-1,1)</f>
        <v>0</v>
      </c>
      <c r="AY1055" s="487" t="s">
        <v>337</v>
      </c>
      <c r="AZ1055" s="487" t="e">
        <f>+VLOOKUP($AJ1055,Data_Validation!$A:$E,5,0)</f>
        <v>#N/A</v>
      </c>
    </row>
    <row r="1056" spans="36:52" ht="15" hidden="1" customHeight="1">
      <c r="AJ1056" s="905">
        <f t="shared" si="113"/>
        <v>0</v>
      </c>
      <c r="AK1056" s="905">
        <f t="shared" si="114"/>
        <v>0</v>
      </c>
      <c r="AL1056" s="905">
        <f>IFERROR(INDEX(G1056:R1056,1,MATCH(Parametres!$B$3,G$1:R$1,0)-1)*IF(OR(F1056="L",F1056="S",F1056="I"),-1,1),"")</f>
        <v>0</v>
      </c>
      <c r="AM1056" s="905">
        <f t="shared" si="115"/>
        <v>0</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6"/>
        <v>0</v>
      </c>
      <c r="AU1056" s="488">
        <f t="shared" si="117"/>
        <v>0</v>
      </c>
      <c r="AV1056" s="899">
        <f>IFERROR(INDEX(V1056:AG1056,1,MATCH(Parametres!$B$3,V$1:AG$1,0)-1)*IF(OR(C1056="L",C1056="S",C1056="I"),-1,1),"")</f>
        <v>0</v>
      </c>
      <c r="AW1056" s="899">
        <f t="shared" si="118"/>
        <v>0</v>
      </c>
      <c r="AX1056" s="899">
        <f>INDEX(V1056:AG1056,1,MATCH(Parametres!$B$3,V$1:AG$1,0))*IF(OR(C1056="L",C1056="S",C1056="I"),-1,1)</f>
        <v>0</v>
      </c>
      <c r="AY1056" s="487" t="s">
        <v>337</v>
      </c>
      <c r="AZ1056" s="487" t="e">
        <f>+VLOOKUP($AJ1056,Data_Validation!$A:$E,5,0)</f>
        <v>#N/A</v>
      </c>
    </row>
    <row r="1057" spans="36:52" ht="15" hidden="1" customHeight="1">
      <c r="AJ1057" s="905">
        <f t="shared" si="113"/>
        <v>0</v>
      </c>
      <c r="AK1057" s="905">
        <f t="shared" si="114"/>
        <v>0</v>
      </c>
      <c r="AL1057" s="905">
        <f>IFERROR(INDEX(G1057:R1057,1,MATCH(Parametres!$B$3,G$1:R$1,0)-1)*IF(OR(F1057="L",F1057="S",F1057="I"),-1,1),"")</f>
        <v>0</v>
      </c>
      <c r="AM1057" s="905">
        <f t="shared" si="115"/>
        <v>0</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6"/>
        <v>0</v>
      </c>
      <c r="AU1057" s="488">
        <f t="shared" si="117"/>
        <v>0</v>
      </c>
      <c r="AV1057" s="899">
        <f>IFERROR(INDEX(V1057:AG1057,1,MATCH(Parametres!$B$3,V$1:AG$1,0)-1)*IF(OR(C1057="L",C1057="S",C1057="I"),-1,1),"")</f>
        <v>0</v>
      </c>
      <c r="AW1057" s="899">
        <f t="shared" si="118"/>
        <v>0</v>
      </c>
      <c r="AX1057" s="899">
        <f>INDEX(V1057:AG1057,1,MATCH(Parametres!$B$3,V$1:AG$1,0))*IF(OR(C1057="L",C1057="S",C1057="I"),-1,1)</f>
        <v>0</v>
      </c>
      <c r="AY1057" s="487" t="s">
        <v>337</v>
      </c>
      <c r="AZ1057" s="487" t="e">
        <f>+VLOOKUP($AJ1057,Data_Validation!$A:$E,5,0)</f>
        <v>#N/A</v>
      </c>
    </row>
    <row r="1058" spans="36:52" ht="15" hidden="1" customHeight="1">
      <c r="AJ1058" s="905">
        <f t="shared" si="113"/>
        <v>0</v>
      </c>
      <c r="AK1058" s="905">
        <f t="shared" si="114"/>
        <v>0</v>
      </c>
      <c r="AL1058" s="905">
        <f>IFERROR(INDEX(G1058:R1058,1,MATCH(Parametres!$B$3,G$1:R$1,0)-1)*IF(OR(F1058="L",F1058="S",F1058="I"),-1,1),"")</f>
        <v>0</v>
      </c>
      <c r="AM1058" s="905">
        <f t="shared" si="115"/>
        <v>0</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6"/>
        <v>0</v>
      </c>
      <c r="AU1058" s="488">
        <f t="shared" si="117"/>
        <v>0</v>
      </c>
      <c r="AV1058" s="899">
        <f>IFERROR(INDEX(V1058:AG1058,1,MATCH(Parametres!$B$3,V$1:AG$1,0)-1)*IF(OR(C1058="L",C1058="S",C1058="I"),-1,1),"")</f>
        <v>0</v>
      </c>
      <c r="AW1058" s="899">
        <f t="shared" si="118"/>
        <v>0</v>
      </c>
      <c r="AX1058" s="899">
        <f>INDEX(V1058:AG1058,1,MATCH(Parametres!$B$3,V$1:AG$1,0))*IF(OR(C1058="L",C1058="S",C1058="I"),-1,1)</f>
        <v>0</v>
      </c>
      <c r="AY1058" s="487" t="s">
        <v>337</v>
      </c>
      <c r="AZ1058" s="487" t="e">
        <f>+VLOOKUP($AJ1058,Data_Validation!$A:$E,5,0)</f>
        <v>#N/A</v>
      </c>
    </row>
    <row r="1059" spans="36:52" ht="15" hidden="1" customHeight="1">
      <c r="AJ1059" s="905">
        <f t="shared" si="113"/>
        <v>0</v>
      </c>
      <c r="AK1059" s="905">
        <f t="shared" si="114"/>
        <v>0</v>
      </c>
      <c r="AL1059" s="905">
        <f>IFERROR(INDEX(G1059:R1059,1,MATCH(Parametres!$B$3,G$1:R$1,0)-1)*IF(OR(F1059="L",F1059="S",F1059="I"),-1,1),"")</f>
        <v>0</v>
      </c>
      <c r="AM1059" s="905">
        <f t="shared" si="115"/>
        <v>0</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6"/>
        <v>0</v>
      </c>
      <c r="AU1059" s="488">
        <f t="shared" si="117"/>
        <v>0</v>
      </c>
      <c r="AV1059" s="899">
        <f>IFERROR(INDEX(V1059:AG1059,1,MATCH(Parametres!$B$3,V$1:AG$1,0)-1)*IF(OR(C1059="L",C1059="S",C1059="I"),-1,1),"")</f>
        <v>0</v>
      </c>
      <c r="AW1059" s="899">
        <f t="shared" si="118"/>
        <v>0</v>
      </c>
      <c r="AX1059" s="899">
        <f>INDEX(V1059:AG1059,1,MATCH(Parametres!$B$3,V$1:AG$1,0))*IF(OR(C1059="L",C1059="S",C1059="I"),-1,1)</f>
        <v>0</v>
      </c>
      <c r="AY1059" s="487" t="s">
        <v>337</v>
      </c>
      <c r="AZ1059" s="487" t="e">
        <f>+VLOOKUP($AJ1059,Data_Validation!$A:$E,5,0)</f>
        <v>#N/A</v>
      </c>
    </row>
    <row r="1060" spans="36:52" ht="15" hidden="1" customHeight="1">
      <c r="AJ1060" s="905">
        <f t="shared" si="113"/>
        <v>0</v>
      </c>
      <c r="AK1060" s="905">
        <f t="shared" si="114"/>
        <v>0</v>
      </c>
      <c r="AL1060" s="905">
        <f>IFERROR(INDEX(G1060:R1060,1,MATCH(Parametres!$B$3,G$1:R$1,0)-1)*IF(OR(F1060="L",F1060="S",F1060="I"),-1,1),"")</f>
        <v>0</v>
      </c>
      <c r="AM1060" s="905">
        <f t="shared" si="115"/>
        <v>0</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6"/>
        <v>0</v>
      </c>
      <c r="AU1060" s="488">
        <f t="shared" si="117"/>
        <v>0</v>
      </c>
      <c r="AV1060" s="899">
        <f>IFERROR(INDEX(V1060:AG1060,1,MATCH(Parametres!$B$3,V$1:AG$1,0)-1)*IF(OR(C1060="L",C1060="S",C1060="I"),-1,1),"")</f>
        <v>0</v>
      </c>
      <c r="AW1060" s="899">
        <f t="shared" si="118"/>
        <v>0</v>
      </c>
      <c r="AX1060" s="899">
        <f>INDEX(V1060:AG1060,1,MATCH(Parametres!$B$3,V$1:AG$1,0))*IF(OR(C1060="L",C1060="S",C1060="I"),-1,1)</f>
        <v>0</v>
      </c>
      <c r="AY1060" s="487" t="s">
        <v>337</v>
      </c>
      <c r="AZ1060" s="487" t="e">
        <f>+VLOOKUP($AJ1060,Data_Validation!$A:$E,5,0)</f>
        <v>#N/A</v>
      </c>
    </row>
    <row r="1061" spans="36:52" ht="15" hidden="1" customHeight="1">
      <c r="AJ1061" s="905">
        <f t="shared" si="113"/>
        <v>0</v>
      </c>
      <c r="AK1061" s="905">
        <f t="shared" si="114"/>
        <v>0</v>
      </c>
      <c r="AL1061" s="905">
        <f>IFERROR(INDEX(G1061:R1061,1,MATCH(Parametres!$B$3,G$1:R$1,0)-1)*IF(OR(F1061="L",F1061="S",F1061="I"),-1,1),"")</f>
        <v>0</v>
      </c>
      <c r="AM1061" s="905">
        <f t="shared" si="115"/>
        <v>0</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6"/>
        <v>0</v>
      </c>
      <c r="AU1061" s="488">
        <f t="shared" si="117"/>
        <v>0</v>
      </c>
      <c r="AV1061" s="899">
        <f>IFERROR(INDEX(V1061:AG1061,1,MATCH(Parametres!$B$3,V$1:AG$1,0)-1)*IF(OR(C1061="L",C1061="S",C1061="I"),-1,1),"")</f>
        <v>0</v>
      </c>
      <c r="AW1061" s="899">
        <f t="shared" si="118"/>
        <v>0</v>
      </c>
      <c r="AX1061" s="899">
        <f>INDEX(V1061:AG1061,1,MATCH(Parametres!$B$3,V$1:AG$1,0))*IF(OR(C1061="L",C1061="S",C1061="I"),-1,1)</f>
        <v>0</v>
      </c>
      <c r="AY1061" s="487" t="s">
        <v>337</v>
      </c>
      <c r="AZ1061" s="487" t="e">
        <f>+VLOOKUP($AJ1061,Data_Validation!$A:$E,5,0)</f>
        <v>#N/A</v>
      </c>
    </row>
    <row r="1062" spans="36:52" ht="15" hidden="1" customHeight="1">
      <c r="AJ1062" s="905">
        <f t="shared" si="113"/>
        <v>0</v>
      </c>
      <c r="AK1062" s="905">
        <f t="shared" si="114"/>
        <v>0</v>
      </c>
      <c r="AL1062" s="905">
        <f>IFERROR(INDEX(G1062:R1062,1,MATCH(Parametres!$B$3,G$1:R$1,0)-1)*IF(OR(F1062="L",F1062="S",F1062="I"),-1,1),"")</f>
        <v>0</v>
      </c>
      <c r="AM1062" s="905">
        <f t="shared" si="115"/>
        <v>0</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6"/>
        <v>0</v>
      </c>
      <c r="AU1062" s="488">
        <f t="shared" si="117"/>
        <v>0</v>
      </c>
      <c r="AV1062" s="899">
        <f>IFERROR(INDEX(V1062:AG1062,1,MATCH(Parametres!$B$3,V$1:AG$1,0)-1)*IF(OR(C1062="L",C1062="S",C1062="I"),-1,1),"")</f>
        <v>0</v>
      </c>
      <c r="AW1062" s="899">
        <f t="shared" si="118"/>
        <v>0</v>
      </c>
      <c r="AX1062" s="899">
        <f>INDEX(V1062:AG1062,1,MATCH(Parametres!$B$3,V$1:AG$1,0))*IF(OR(C1062="L",C1062="S",C1062="I"),-1,1)</f>
        <v>0</v>
      </c>
      <c r="AY1062" s="487" t="s">
        <v>337</v>
      </c>
      <c r="AZ1062" s="487" t="e">
        <f>+VLOOKUP($AJ1062,Data_Validation!$A:$E,5,0)</f>
        <v>#N/A</v>
      </c>
    </row>
    <row r="1063" spans="36:52" ht="15" hidden="1" customHeight="1">
      <c r="AJ1063" s="905">
        <f t="shared" si="113"/>
        <v>0</v>
      </c>
      <c r="AK1063" s="905">
        <f t="shared" si="114"/>
        <v>0</v>
      </c>
      <c r="AL1063" s="905">
        <f>IFERROR(INDEX(G1063:R1063,1,MATCH(Parametres!$B$3,G$1:R$1,0)-1)*IF(OR(F1063="L",F1063="S",F1063="I"),-1,1),"")</f>
        <v>0</v>
      </c>
      <c r="AM1063" s="905">
        <f t="shared" si="115"/>
        <v>0</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6"/>
        <v>0</v>
      </c>
      <c r="AU1063" s="488">
        <f t="shared" si="117"/>
        <v>0</v>
      </c>
      <c r="AV1063" s="899">
        <f>IFERROR(INDEX(V1063:AG1063,1,MATCH(Parametres!$B$3,V$1:AG$1,0)-1)*IF(OR(C1063="L",C1063="S",C1063="I"),-1,1),"")</f>
        <v>0</v>
      </c>
      <c r="AW1063" s="899">
        <f t="shared" si="118"/>
        <v>0</v>
      </c>
      <c r="AX1063" s="899">
        <f>INDEX(V1063:AG1063,1,MATCH(Parametres!$B$3,V$1:AG$1,0))*IF(OR(C1063="L",C1063="S",C1063="I"),-1,1)</f>
        <v>0</v>
      </c>
      <c r="AY1063" s="487" t="s">
        <v>337</v>
      </c>
      <c r="AZ1063" s="487" t="e">
        <f>+VLOOKUP($AJ1063,Data_Validation!$A:$E,5,0)</f>
        <v>#N/A</v>
      </c>
    </row>
    <row r="1064" spans="36:52" ht="15" hidden="1" customHeight="1">
      <c r="AJ1064" s="905">
        <f t="shared" si="113"/>
        <v>0</v>
      </c>
      <c r="AK1064" s="905">
        <f t="shared" si="114"/>
        <v>0</v>
      </c>
      <c r="AL1064" s="905">
        <f>IFERROR(INDEX(G1064:R1064,1,MATCH(Parametres!$B$3,G$1:R$1,0)-1)*IF(OR(F1064="L",F1064="S",F1064="I"),-1,1),"")</f>
        <v>0</v>
      </c>
      <c r="AM1064" s="905">
        <f t="shared" si="115"/>
        <v>0</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6"/>
        <v>0</v>
      </c>
      <c r="AU1064" s="488">
        <f t="shared" si="117"/>
        <v>0</v>
      </c>
      <c r="AV1064" s="899">
        <f>IFERROR(INDEX(V1064:AG1064,1,MATCH(Parametres!$B$3,V$1:AG$1,0)-1)*IF(OR(C1064="L",C1064="S",C1064="I"),-1,1),"")</f>
        <v>0</v>
      </c>
      <c r="AW1064" s="899">
        <f t="shared" si="118"/>
        <v>0</v>
      </c>
      <c r="AX1064" s="899">
        <f>INDEX(V1064:AG1064,1,MATCH(Parametres!$B$3,V$1:AG$1,0))*IF(OR(C1064="L",C1064="S",C1064="I"),-1,1)</f>
        <v>0</v>
      </c>
      <c r="AY1064" s="487" t="s">
        <v>337</v>
      </c>
      <c r="AZ1064" s="487" t="e">
        <f>+VLOOKUP($AJ1064,Data_Validation!$A:$E,5,0)</f>
        <v>#N/A</v>
      </c>
    </row>
    <row r="1065" spans="36:52" ht="15" hidden="1" customHeight="1">
      <c r="AJ1065" s="905">
        <f t="shared" si="113"/>
        <v>0</v>
      </c>
      <c r="AK1065" s="905">
        <f t="shared" si="114"/>
        <v>0</v>
      </c>
      <c r="AL1065" s="905">
        <f>IFERROR(INDEX(G1065:R1065,1,MATCH(Parametres!$B$3,G$1:R$1,0)-1)*IF(OR(F1065="L",F1065="S",F1065="I"),-1,1),"")</f>
        <v>0</v>
      </c>
      <c r="AM1065" s="905">
        <f t="shared" si="115"/>
        <v>0</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6"/>
        <v>0</v>
      </c>
      <c r="AU1065" s="488">
        <f t="shared" si="117"/>
        <v>0</v>
      </c>
      <c r="AV1065" s="899">
        <f>IFERROR(INDEX(V1065:AG1065,1,MATCH(Parametres!$B$3,V$1:AG$1,0)-1)*IF(OR(C1065="L",C1065="S",C1065="I"),-1,1),"")</f>
        <v>0</v>
      </c>
      <c r="AW1065" s="899">
        <f t="shared" si="118"/>
        <v>0</v>
      </c>
      <c r="AX1065" s="899">
        <f>INDEX(V1065:AG1065,1,MATCH(Parametres!$B$3,V$1:AG$1,0))*IF(OR(C1065="L",C1065="S",C1065="I"),-1,1)</f>
        <v>0</v>
      </c>
      <c r="AY1065" s="487" t="s">
        <v>337</v>
      </c>
      <c r="AZ1065" s="487" t="e">
        <f>+VLOOKUP($AJ1065,Data_Validation!$A:$E,5,0)</f>
        <v>#N/A</v>
      </c>
    </row>
    <row r="1066" spans="36:52" ht="15" hidden="1" customHeight="1">
      <c r="AJ1066" s="905">
        <f t="shared" si="113"/>
        <v>0</v>
      </c>
      <c r="AK1066" s="905">
        <f t="shared" si="114"/>
        <v>0</v>
      </c>
      <c r="AL1066" s="905">
        <f>IFERROR(INDEX(G1066:R1066,1,MATCH(Parametres!$B$3,G$1:R$1,0)-1)*IF(OR(F1066="L",F1066="S",F1066="I"),-1,1),"")</f>
        <v>0</v>
      </c>
      <c r="AM1066" s="905">
        <f t="shared" si="115"/>
        <v>0</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6"/>
        <v>0</v>
      </c>
      <c r="AU1066" s="488">
        <f t="shared" si="117"/>
        <v>0</v>
      </c>
      <c r="AV1066" s="899">
        <f>IFERROR(INDEX(V1066:AG1066,1,MATCH(Parametres!$B$3,V$1:AG$1,0)-1)*IF(OR(C1066="L",C1066="S",C1066="I"),-1,1),"")</f>
        <v>0</v>
      </c>
      <c r="AW1066" s="899">
        <f t="shared" si="118"/>
        <v>0</v>
      </c>
      <c r="AX1066" s="899">
        <f>INDEX(V1066:AG1066,1,MATCH(Parametres!$B$3,V$1:AG$1,0))*IF(OR(C1066="L",C1066="S",C1066="I"),-1,1)</f>
        <v>0</v>
      </c>
      <c r="AY1066" s="487" t="s">
        <v>337</v>
      </c>
      <c r="AZ1066" s="487" t="e">
        <f>+VLOOKUP($AJ1066,Data_Validation!$A:$E,5,0)</f>
        <v>#N/A</v>
      </c>
    </row>
    <row r="1067" spans="36:52" ht="15" hidden="1" customHeight="1">
      <c r="AJ1067" s="905">
        <f t="shared" si="113"/>
        <v>0</v>
      </c>
      <c r="AK1067" s="905">
        <f t="shared" si="114"/>
        <v>0</v>
      </c>
      <c r="AL1067" s="905">
        <f>IFERROR(INDEX(G1067:R1067,1,MATCH(Parametres!$B$3,G$1:R$1,0)-1)*IF(OR(F1067="L",F1067="S",F1067="I"),-1,1),"")</f>
        <v>0</v>
      </c>
      <c r="AM1067" s="905">
        <f t="shared" si="115"/>
        <v>0</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6"/>
        <v>0</v>
      </c>
      <c r="AU1067" s="488">
        <f t="shared" si="117"/>
        <v>0</v>
      </c>
      <c r="AV1067" s="899">
        <f>IFERROR(INDEX(V1067:AG1067,1,MATCH(Parametres!$B$3,V$1:AG$1,0)-1)*IF(OR(C1067="L",C1067="S",C1067="I"),-1,1),"")</f>
        <v>0</v>
      </c>
      <c r="AW1067" s="899">
        <f t="shared" si="118"/>
        <v>0</v>
      </c>
      <c r="AX1067" s="899">
        <f>INDEX(V1067:AG1067,1,MATCH(Parametres!$B$3,V$1:AG$1,0))*IF(OR(C1067="L",C1067="S",C1067="I"),-1,1)</f>
        <v>0</v>
      </c>
      <c r="AY1067" s="487" t="s">
        <v>337</v>
      </c>
      <c r="AZ1067" s="487" t="e">
        <f>+VLOOKUP($AJ1067,Data_Validation!$A:$E,5,0)</f>
        <v>#N/A</v>
      </c>
    </row>
    <row r="1068" spans="36:52" ht="15" hidden="1" customHeight="1">
      <c r="AJ1068" s="905">
        <f t="shared" si="113"/>
        <v>0</v>
      </c>
      <c r="AK1068" s="905">
        <f t="shared" si="114"/>
        <v>0</v>
      </c>
      <c r="AL1068" s="905">
        <f>IFERROR(INDEX(G1068:R1068,1,MATCH(Parametres!$B$3,G$1:R$1,0)-1)*IF(OR(F1068="L",F1068="S",F1068="I"),-1,1),"")</f>
        <v>0</v>
      </c>
      <c r="AM1068" s="905">
        <f t="shared" si="115"/>
        <v>0</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6"/>
        <v>0</v>
      </c>
      <c r="AU1068" s="488">
        <f t="shared" si="117"/>
        <v>0</v>
      </c>
      <c r="AV1068" s="899">
        <f>IFERROR(INDEX(V1068:AG1068,1,MATCH(Parametres!$B$3,V$1:AG$1,0)-1)*IF(OR(C1068="L",C1068="S",C1068="I"),-1,1),"")</f>
        <v>0</v>
      </c>
      <c r="AW1068" s="899">
        <f t="shared" si="118"/>
        <v>0</v>
      </c>
      <c r="AX1068" s="899">
        <f>INDEX(V1068:AG1068,1,MATCH(Parametres!$B$3,V$1:AG$1,0))*IF(OR(C1068="L",C1068="S",C1068="I"),-1,1)</f>
        <v>0</v>
      </c>
      <c r="AY1068" s="487" t="s">
        <v>337</v>
      </c>
      <c r="AZ1068" s="487" t="e">
        <f>+VLOOKUP($AJ1068,Data_Validation!$A:$E,5,0)</f>
        <v>#N/A</v>
      </c>
    </row>
    <row r="1069" spans="36:52" ht="15" hidden="1" customHeight="1">
      <c r="AJ1069" s="905">
        <f t="shared" si="113"/>
        <v>0</v>
      </c>
      <c r="AK1069" s="905">
        <f t="shared" si="114"/>
        <v>0</v>
      </c>
      <c r="AL1069" s="905">
        <f>IFERROR(INDEX(G1069:R1069,1,MATCH(Parametres!$B$3,G$1:R$1,0)-1)*IF(OR(F1069="L",F1069="S",F1069="I"),-1,1),"")</f>
        <v>0</v>
      </c>
      <c r="AM1069" s="905">
        <f t="shared" si="115"/>
        <v>0</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6"/>
        <v>0</v>
      </c>
      <c r="AU1069" s="488">
        <f t="shared" si="117"/>
        <v>0</v>
      </c>
      <c r="AV1069" s="899">
        <f>IFERROR(INDEX(V1069:AG1069,1,MATCH(Parametres!$B$3,V$1:AG$1,0)-1)*IF(OR(C1069="L",C1069="S",C1069="I"),-1,1),"")</f>
        <v>0</v>
      </c>
      <c r="AW1069" s="899">
        <f t="shared" si="118"/>
        <v>0</v>
      </c>
      <c r="AX1069" s="899">
        <f>INDEX(V1069:AG1069,1,MATCH(Parametres!$B$3,V$1:AG$1,0))*IF(OR(C1069="L",C1069="S",C1069="I"),-1,1)</f>
        <v>0</v>
      </c>
      <c r="AY1069" s="487" t="s">
        <v>337</v>
      </c>
      <c r="AZ1069" s="487" t="e">
        <f>+VLOOKUP($AJ1069,Data_Validation!$A:$E,5,0)</f>
        <v>#N/A</v>
      </c>
    </row>
    <row r="1070" spans="36:52" ht="15" hidden="1" customHeight="1">
      <c r="AJ1070" s="905">
        <f t="shared" si="113"/>
        <v>0</v>
      </c>
      <c r="AK1070" s="905">
        <f t="shared" si="114"/>
        <v>0</v>
      </c>
      <c r="AL1070" s="905">
        <f>IFERROR(INDEX(G1070:R1070,1,MATCH(Parametres!$B$3,G$1:R$1,0)-1)*IF(OR(F1070="L",F1070="S",F1070="I"),-1,1),"")</f>
        <v>0</v>
      </c>
      <c r="AM1070" s="905">
        <f t="shared" si="115"/>
        <v>0</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6"/>
        <v>0</v>
      </c>
      <c r="AU1070" s="488">
        <f t="shared" si="117"/>
        <v>0</v>
      </c>
      <c r="AV1070" s="899">
        <f>IFERROR(INDEX(V1070:AG1070,1,MATCH(Parametres!$B$3,V$1:AG$1,0)-1)*IF(OR(C1070="L",C1070="S",C1070="I"),-1,1),"")</f>
        <v>0</v>
      </c>
      <c r="AW1070" s="899">
        <f t="shared" si="118"/>
        <v>0</v>
      </c>
      <c r="AX1070" s="899">
        <f>INDEX(V1070:AG1070,1,MATCH(Parametres!$B$3,V$1:AG$1,0))*IF(OR(C1070="L",C1070="S",C1070="I"),-1,1)</f>
        <v>0</v>
      </c>
      <c r="AY1070" s="487" t="s">
        <v>337</v>
      </c>
      <c r="AZ1070" s="487" t="e">
        <f>+VLOOKUP($AJ1070,Data_Validation!$A:$E,5,0)</f>
        <v>#N/A</v>
      </c>
    </row>
    <row r="1071" spans="36:52" ht="15" hidden="1" customHeight="1">
      <c r="AJ1071" s="905">
        <f t="shared" si="113"/>
        <v>0</v>
      </c>
      <c r="AK1071" s="905">
        <f t="shared" si="114"/>
        <v>0</v>
      </c>
      <c r="AL1071" s="905">
        <f>IFERROR(INDEX(G1071:R1071,1,MATCH(Parametres!$B$3,G$1:R$1,0)-1)*IF(OR(F1071="L",F1071="S",F1071="I"),-1,1),"")</f>
        <v>0</v>
      </c>
      <c r="AM1071" s="905">
        <f t="shared" si="115"/>
        <v>0</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6"/>
        <v>0</v>
      </c>
      <c r="AU1071" s="488">
        <f t="shared" si="117"/>
        <v>0</v>
      </c>
      <c r="AV1071" s="899">
        <f>IFERROR(INDEX(V1071:AG1071,1,MATCH(Parametres!$B$3,V$1:AG$1,0)-1)*IF(OR(C1071="L",C1071="S",C1071="I"),-1,1),"")</f>
        <v>0</v>
      </c>
      <c r="AW1071" s="899">
        <f t="shared" si="118"/>
        <v>0</v>
      </c>
      <c r="AX1071" s="899">
        <f>INDEX(V1071:AG1071,1,MATCH(Parametres!$B$3,V$1:AG$1,0))*IF(OR(C1071="L",C1071="S",C1071="I"),-1,1)</f>
        <v>0</v>
      </c>
      <c r="AY1071" s="487" t="s">
        <v>337</v>
      </c>
      <c r="AZ1071" s="487" t="e">
        <f>+VLOOKUP($AJ1071,Data_Validation!$A:$E,5,0)</f>
        <v>#N/A</v>
      </c>
    </row>
    <row r="1072" spans="36:52" ht="15" hidden="1" customHeight="1">
      <c r="AJ1072" s="905">
        <f t="shared" si="113"/>
        <v>0</v>
      </c>
      <c r="AK1072" s="905">
        <f t="shared" si="114"/>
        <v>0</v>
      </c>
      <c r="AL1072" s="905">
        <f>IFERROR(INDEX(G1072:R1072,1,MATCH(Parametres!$B$3,G$1:R$1,0)-1)*IF(OR(F1072="L",F1072="S",F1072="I"),-1,1),"")</f>
        <v>0</v>
      </c>
      <c r="AM1072" s="905">
        <f t="shared" si="115"/>
        <v>0</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6"/>
        <v>0</v>
      </c>
      <c r="AU1072" s="488">
        <f t="shared" si="117"/>
        <v>0</v>
      </c>
      <c r="AV1072" s="899">
        <f>IFERROR(INDEX(V1072:AG1072,1,MATCH(Parametres!$B$3,V$1:AG$1,0)-1)*IF(OR(C1072="L",C1072="S",C1072="I"),-1,1),"")</f>
        <v>0</v>
      </c>
      <c r="AW1072" s="899">
        <f t="shared" si="118"/>
        <v>0</v>
      </c>
      <c r="AX1072" s="899">
        <f>INDEX(V1072:AG1072,1,MATCH(Parametres!$B$3,V$1:AG$1,0))*IF(OR(C1072="L",C1072="S",C1072="I"),-1,1)</f>
        <v>0</v>
      </c>
      <c r="AY1072" s="487" t="s">
        <v>337</v>
      </c>
      <c r="AZ1072" s="487" t="e">
        <f>+VLOOKUP($AJ1072,Data_Validation!$A:$E,5,0)</f>
        <v>#N/A</v>
      </c>
    </row>
    <row r="1073" spans="36:52" ht="15" hidden="1" customHeight="1">
      <c r="AJ1073" s="905">
        <f t="shared" si="113"/>
        <v>0</v>
      </c>
      <c r="AK1073" s="905">
        <f t="shared" si="114"/>
        <v>0</v>
      </c>
      <c r="AL1073" s="905">
        <f>IFERROR(INDEX(G1073:R1073,1,MATCH(Parametres!$B$3,G$1:R$1,0)-1)*IF(OR(F1073="L",F1073="S",F1073="I"),-1,1),"")</f>
        <v>0</v>
      </c>
      <c r="AM1073" s="905">
        <f t="shared" si="115"/>
        <v>0</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6"/>
        <v>0</v>
      </c>
      <c r="AU1073" s="488">
        <f t="shared" si="117"/>
        <v>0</v>
      </c>
      <c r="AV1073" s="899">
        <f>IFERROR(INDEX(V1073:AG1073,1,MATCH(Parametres!$B$3,V$1:AG$1,0)-1)*IF(OR(C1073="L",C1073="S",C1073="I"),-1,1),"")</f>
        <v>0</v>
      </c>
      <c r="AW1073" s="899">
        <f t="shared" si="118"/>
        <v>0</v>
      </c>
      <c r="AX1073" s="899">
        <f>INDEX(V1073:AG1073,1,MATCH(Parametres!$B$3,V$1:AG$1,0))*IF(OR(C1073="L",C1073="S",C1073="I"),-1,1)</f>
        <v>0</v>
      </c>
      <c r="AY1073" s="487" t="s">
        <v>337</v>
      </c>
      <c r="AZ1073" s="487" t="e">
        <f>+VLOOKUP($AJ1073,Data_Validation!$A:$E,5,0)</f>
        <v>#N/A</v>
      </c>
    </row>
    <row r="1074" spans="36:52" ht="15" hidden="1" customHeight="1">
      <c r="AJ1074" s="905">
        <f t="shared" si="113"/>
        <v>0</v>
      </c>
      <c r="AK1074" s="905">
        <f t="shared" si="114"/>
        <v>0</v>
      </c>
      <c r="AL1074" s="905">
        <f>IFERROR(INDEX(G1074:R1074,1,MATCH(Parametres!$B$3,G$1:R$1,0)-1)*IF(OR(F1074="L",F1074="S",F1074="I"),-1,1),"")</f>
        <v>0</v>
      </c>
      <c r="AM1074" s="905">
        <f t="shared" si="115"/>
        <v>0</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6"/>
        <v>0</v>
      </c>
      <c r="AU1074" s="488">
        <f t="shared" si="117"/>
        <v>0</v>
      </c>
      <c r="AV1074" s="899">
        <f>IFERROR(INDEX(V1074:AG1074,1,MATCH(Parametres!$B$3,V$1:AG$1,0)-1)*IF(OR(C1074="L",C1074="S",C1074="I"),-1,1),"")</f>
        <v>0</v>
      </c>
      <c r="AW1074" s="899">
        <f t="shared" si="118"/>
        <v>0</v>
      </c>
      <c r="AX1074" s="899">
        <f>INDEX(V1074:AG1074,1,MATCH(Parametres!$B$3,V$1:AG$1,0))*IF(OR(C1074="L",C1074="S",C1074="I"),-1,1)</f>
        <v>0</v>
      </c>
      <c r="AY1074" s="487" t="s">
        <v>337</v>
      </c>
      <c r="AZ1074" s="487" t="e">
        <f>+VLOOKUP($AJ1074,Data_Validation!$A:$E,5,0)</f>
        <v>#N/A</v>
      </c>
    </row>
    <row r="1075" spans="36:52" ht="15" hidden="1" customHeight="1">
      <c r="AJ1075" s="905">
        <f t="shared" si="113"/>
        <v>0</v>
      </c>
      <c r="AK1075" s="905">
        <f t="shared" si="114"/>
        <v>0</v>
      </c>
      <c r="AL1075" s="905">
        <f>IFERROR(INDEX(G1075:R1075,1,MATCH(Parametres!$B$3,G$1:R$1,0)-1)*IF(OR(F1075="L",F1075="S",F1075="I"),-1,1),"")</f>
        <v>0</v>
      </c>
      <c r="AM1075" s="905">
        <f t="shared" si="115"/>
        <v>0</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6"/>
        <v>0</v>
      </c>
      <c r="AU1075" s="488">
        <f t="shared" si="117"/>
        <v>0</v>
      </c>
      <c r="AV1075" s="899">
        <f>IFERROR(INDEX(V1075:AG1075,1,MATCH(Parametres!$B$3,V$1:AG$1,0)-1)*IF(OR(C1075="L",C1075="S",C1075="I"),-1,1),"")</f>
        <v>0</v>
      </c>
      <c r="AW1075" s="899">
        <f t="shared" si="118"/>
        <v>0</v>
      </c>
      <c r="AX1075" s="899">
        <f>INDEX(V1075:AG1075,1,MATCH(Parametres!$B$3,V$1:AG$1,0))*IF(OR(C1075="L",C1075="S",C1075="I"),-1,1)</f>
        <v>0</v>
      </c>
      <c r="AY1075" s="487" t="s">
        <v>337</v>
      </c>
      <c r="AZ1075" s="487" t="e">
        <f>+VLOOKUP($AJ1075,Data_Validation!$A:$E,5,0)</f>
        <v>#N/A</v>
      </c>
    </row>
    <row r="1076" spans="36:52" ht="15" hidden="1" customHeight="1">
      <c r="AJ1076" s="905">
        <f t="shared" si="113"/>
        <v>0</v>
      </c>
      <c r="AK1076" s="905">
        <f t="shared" si="114"/>
        <v>0</v>
      </c>
      <c r="AL1076" s="905">
        <f>IFERROR(INDEX(G1076:R1076,1,MATCH(Parametres!$B$3,G$1:R$1,0)-1)*IF(OR(F1076="L",F1076="S",F1076="I"),-1,1),"")</f>
        <v>0</v>
      </c>
      <c r="AM1076" s="905">
        <f t="shared" si="115"/>
        <v>0</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6"/>
        <v>0</v>
      </c>
      <c r="AU1076" s="488">
        <f t="shared" si="117"/>
        <v>0</v>
      </c>
      <c r="AV1076" s="899">
        <f>IFERROR(INDEX(V1076:AG1076,1,MATCH(Parametres!$B$3,V$1:AG$1,0)-1)*IF(OR(C1076="L",C1076="S",C1076="I"),-1,1),"")</f>
        <v>0</v>
      </c>
      <c r="AW1076" s="899">
        <f t="shared" si="118"/>
        <v>0</v>
      </c>
      <c r="AX1076" s="899">
        <f>INDEX(V1076:AG1076,1,MATCH(Parametres!$B$3,V$1:AG$1,0))*IF(OR(C1076="L",C1076="S",C1076="I"),-1,1)</f>
        <v>0</v>
      </c>
      <c r="AY1076" s="487" t="s">
        <v>337</v>
      </c>
      <c r="AZ1076" s="487" t="e">
        <f>+VLOOKUP($AJ1076,Data_Validation!$A:$E,5,0)</f>
        <v>#N/A</v>
      </c>
    </row>
    <row r="1077" spans="36:52" ht="15" hidden="1" customHeight="1">
      <c r="AJ1077" s="905">
        <f t="shared" ref="AJ1077" si="119">C1077</f>
        <v>0</v>
      </c>
      <c r="AK1077" s="905">
        <f t="shared" ref="AK1077" si="120">D1077</f>
        <v>0</v>
      </c>
      <c r="AL1077" s="905">
        <f>IFERROR(INDEX(G1077:R1077,1,MATCH(Parametres!$B$3,G$1:R$1,0)-1)*IF(OR(F1077="L",F1077="S",F1077="I"),-1,1),"")</f>
        <v>0</v>
      </c>
      <c r="AM1077" s="905">
        <f t="shared" ref="AM1077" si="121">AN1077-AL1077</f>
        <v>0</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22">C1077</f>
        <v>0</v>
      </c>
      <c r="AU1077" s="488">
        <f t="shared" ref="AU1077" si="123">D1077</f>
        <v>0</v>
      </c>
      <c r="AV1077" s="899">
        <f>IFERROR(INDEX(V1077:AG1077,1,MATCH(Parametres!$B$3,V$1:AG$1,0)-1)*IF(OR(C1077="L",C1077="S",C1077="I"),-1,1),"")</f>
        <v>0</v>
      </c>
      <c r="AW1077" s="899">
        <f t="shared" ref="AW1077" si="124">AX1077-AV1077</f>
        <v>0</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filterColumn colId="41">
      <filters>
        <filter val="0"/>
        <filter val="#N/A"/>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45" workbookViewId="0">
      <selection activeCell="C756" sqref="C756:D756"/>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1198</v>
      </c>
      <c r="B12" t="s">
        <v>1199</v>
      </c>
      <c r="C12" s="710" t="s">
        <v>148</v>
      </c>
      <c r="D12" s="710" t="s">
        <v>200</v>
      </c>
      <c r="E12" s="710"/>
      <c r="F12" s="30"/>
      <c r="G12" s="490"/>
      <c r="I12" s="490" t="s">
        <v>656</v>
      </c>
      <c r="K12" s="491" t="s">
        <v>657</v>
      </c>
    </row>
    <row r="13" spans="1:11" ht="15" customHeight="1">
      <c r="A13" t="s">
        <v>1200</v>
      </c>
      <c r="B13" t="s">
        <v>1201</v>
      </c>
      <c r="C13" s="710" t="s">
        <v>157</v>
      </c>
      <c r="D13" s="710" t="s">
        <v>200</v>
      </c>
      <c r="E13" s="710"/>
      <c r="F13" s="30"/>
      <c r="I13" s="490" t="str">
        <f>Print_Mois!C6</f>
        <v>Autos détail</v>
      </c>
      <c r="K13" s="5" t="s">
        <v>655</v>
      </c>
    </row>
    <row r="14" spans="1:11" ht="15" customHeight="1">
      <c r="A14" t="s">
        <v>1202</v>
      </c>
      <c r="B14" t="s">
        <v>1203</v>
      </c>
      <c r="C14" s="710" t="s">
        <v>172</v>
      </c>
      <c r="D14" s="710" t="s">
        <v>200</v>
      </c>
      <c r="E14" s="710"/>
      <c r="F14" s="30"/>
      <c r="I14" s="490" t="s">
        <v>169</v>
      </c>
    </row>
    <row r="15" spans="1:11" ht="15" customHeight="1">
      <c r="A15" t="s">
        <v>1204</v>
      </c>
      <c r="B15" t="s">
        <v>1205</v>
      </c>
      <c r="C15" s="710" t="s">
        <v>176</v>
      </c>
      <c r="D15" s="710" t="s">
        <v>200</v>
      </c>
      <c r="E15" s="710"/>
      <c r="F15" s="30"/>
      <c r="I15" s="490" t="str">
        <f>Print_Mois!C388</f>
        <v>Autostock</v>
      </c>
      <c r="K15" s="5" t="s">
        <v>300</v>
      </c>
    </row>
    <row r="16" spans="1:11" ht="15" customHeight="1">
      <c r="A16" t="s">
        <v>1208</v>
      </c>
      <c r="B16" t="s">
        <v>1209</v>
      </c>
      <c r="C16" s="710" t="s">
        <v>88</v>
      </c>
      <c r="D16" s="710" t="s">
        <v>116</v>
      </c>
      <c r="E16" s="710"/>
      <c r="F16" s="30"/>
      <c r="I16" s="490" t="s">
        <v>53</v>
      </c>
      <c r="K16" s="491" t="s">
        <v>658</v>
      </c>
    </row>
    <row r="17" spans="1:11" ht="15" customHeight="1">
      <c r="A17" t="s">
        <v>1210</v>
      </c>
      <c r="B17" t="s">
        <v>1211</v>
      </c>
      <c r="C17" s="710" t="s">
        <v>148</v>
      </c>
      <c r="D17" s="710" t="s">
        <v>116</v>
      </c>
      <c r="E17" s="710"/>
      <c r="F17" s="30"/>
      <c r="I17" s="490" t="s">
        <v>27</v>
      </c>
      <c r="K17" s="5" t="s">
        <v>300</v>
      </c>
    </row>
    <row r="18" spans="1:11" ht="15" customHeight="1">
      <c r="A18" t="s">
        <v>1212</v>
      </c>
      <c r="B18" t="s">
        <v>1213</v>
      </c>
      <c r="C18" s="710" t="s">
        <v>1163</v>
      </c>
      <c r="D18" s="710" t="s">
        <v>116</v>
      </c>
      <c r="E18" s="710"/>
      <c r="F18" s="30"/>
      <c r="I18" s="490"/>
      <c r="K18" s="5"/>
    </row>
    <row r="19" spans="1:11" ht="15" customHeight="1">
      <c r="A19" t="s">
        <v>1214</v>
      </c>
      <c r="B19" t="s">
        <v>1215</v>
      </c>
      <c r="C19" s="710" t="s">
        <v>157</v>
      </c>
      <c r="D19" s="710" t="s">
        <v>116</v>
      </c>
      <c r="E19" s="710"/>
      <c r="F19" s="30"/>
      <c r="I19" s="490" t="s">
        <v>50</v>
      </c>
    </row>
    <row r="20" spans="1:11" ht="15" customHeight="1">
      <c r="A20" t="s">
        <v>1216</v>
      </c>
      <c r="B20" t="s">
        <v>1217</v>
      </c>
      <c r="C20" s="710" t="s">
        <v>172</v>
      </c>
      <c r="D20" s="710" t="s">
        <v>116</v>
      </c>
      <c r="E20" s="710"/>
      <c r="F20" s="30"/>
      <c r="I20" s="490" t="s">
        <v>78</v>
      </c>
    </row>
    <row r="21" spans="1:11" ht="15" customHeight="1">
      <c r="A21" t="s">
        <v>1218</v>
      </c>
      <c r="B21" t="s">
        <v>1219</v>
      </c>
      <c r="C21" s="710" t="s">
        <v>176</v>
      </c>
      <c r="D21" s="710" t="s">
        <v>116</v>
      </c>
      <c r="E21" s="710"/>
      <c r="F21" s="30"/>
      <c r="I21" s="490" t="s">
        <v>63</v>
      </c>
    </row>
    <row r="22" spans="1:11" ht="15" customHeight="1">
      <c r="A22" t="s">
        <v>1220</v>
      </c>
      <c r="B22" t="s">
        <v>1221</v>
      </c>
      <c r="C22" s="710" t="s">
        <v>1162</v>
      </c>
      <c r="D22" s="710" t="s">
        <v>116</v>
      </c>
      <c r="E22" s="710"/>
      <c r="F22" s="30"/>
      <c r="I22" s="490" t="s">
        <v>64</v>
      </c>
    </row>
    <row r="23" spans="1:11" ht="15" customHeight="1">
      <c r="A23" t="s">
        <v>1224</v>
      </c>
      <c r="B23" t="s">
        <v>1225</v>
      </c>
      <c r="C23" s="710" t="s">
        <v>88</v>
      </c>
      <c r="D23" s="710" t="s">
        <v>117</v>
      </c>
      <c r="E23" s="710"/>
      <c r="F23" s="30"/>
      <c r="I23" s="490" t="s">
        <v>82</v>
      </c>
    </row>
    <row r="24" spans="1:11" ht="15" customHeight="1">
      <c r="A24" t="s">
        <v>1226</v>
      </c>
      <c r="B24" t="s">
        <v>1227</v>
      </c>
      <c r="C24" s="710" t="s">
        <v>148</v>
      </c>
      <c r="D24" s="710" t="s">
        <v>117</v>
      </c>
      <c r="E24" s="710"/>
      <c r="F24" s="30"/>
      <c r="I24" s="490" t="s">
        <v>192</v>
      </c>
    </row>
    <row r="25" spans="1:11" ht="15" customHeight="1">
      <c r="A25" t="s">
        <v>1228</v>
      </c>
      <c r="B25" t="s">
        <v>1229</v>
      </c>
      <c r="C25" s="710" t="s">
        <v>1163</v>
      </c>
      <c r="D25" s="710" t="s">
        <v>117</v>
      </c>
      <c r="E25" s="710"/>
      <c r="F25" s="30"/>
      <c r="I25" s="490" t="s">
        <v>94</v>
      </c>
    </row>
    <row r="26" spans="1:11" ht="15" customHeight="1">
      <c r="A26" t="s">
        <v>1230</v>
      </c>
      <c r="B26" t="s">
        <v>1231</v>
      </c>
      <c r="C26" s="710" t="s">
        <v>157</v>
      </c>
      <c r="D26" s="710" t="s">
        <v>117</v>
      </c>
      <c r="E26" s="710"/>
      <c r="F26" s="30"/>
      <c r="I26" s="490" t="s">
        <v>80</v>
      </c>
    </row>
    <row r="27" spans="1:11" ht="15" customHeight="1">
      <c r="A27" t="s">
        <v>1232</v>
      </c>
      <c r="B27" t="s">
        <v>1233</v>
      </c>
      <c r="C27" s="710" t="s">
        <v>172</v>
      </c>
      <c r="D27" s="710" t="s">
        <v>117</v>
      </c>
      <c r="E27" s="710"/>
      <c r="F27" s="30"/>
      <c r="I27" s="490" t="str">
        <f>Print_Mois!C94</f>
        <v>Certifié</v>
      </c>
    </row>
    <row r="28" spans="1:11" ht="15" customHeight="1">
      <c r="A28" t="s">
        <v>1234</v>
      </c>
      <c r="B28" t="s">
        <v>1235</v>
      </c>
      <c r="C28" s="710" t="s">
        <v>176</v>
      </c>
      <c r="D28" s="710" t="s">
        <v>117</v>
      </c>
      <c r="E28" s="710"/>
      <c r="F28" s="30"/>
      <c r="I28" s="490" t="str">
        <f>Print_Mois!V545</f>
        <v>Chauffage, éclairage</v>
      </c>
    </row>
    <row r="29" spans="1:11" ht="15" customHeight="1">
      <c r="A29" t="s">
        <v>1236</v>
      </c>
      <c r="B29" t="s">
        <v>1237</v>
      </c>
      <c r="C29" s="710" t="s">
        <v>1162</v>
      </c>
      <c r="D29" s="710" t="s">
        <v>117</v>
      </c>
      <c r="E29" s="710"/>
      <c r="F29" s="30"/>
      <c r="I29" s="490"/>
    </row>
    <row r="30" spans="1:11" ht="15" customHeight="1">
      <c r="A30" t="s">
        <v>1240</v>
      </c>
      <c r="B30" t="s">
        <v>1241</v>
      </c>
      <c r="C30" s="710" t="s">
        <v>88</v>
      </c>
      <c r="D30" s="710" t="s">
        <v>118</v>
      </c>
      <c r="E30" s="710"/>
      <c r="F30" s="30"/>
      <c r="I30" s="490" t="str">
        <f>Print_Mois!C31</f>
        <v>Comm. vendeurs</v>
      </c>
    </row>
    <row r="31" spans="1:11" ht="15" customHeight="1">
      <c r="A31" t="s">
        <v>1242</v>
      </c>
      <c r="B31" t="s">
        <v>1243</v>
      </c>
      <c r="C31" s="710" t="s">
        <v>148</v>
      </c>
      <c r="D31" s="710" t="s">
        <v>118</v>
      </c>
      <c r="E31" s="710"/>
      <c r="F31" s="30"/>
      <c r="I31" s="490" t="s">
        <v>659</v>
      </c>
    </row>
    <row r="32" spans="1:11" ht="15" customHeight="1">
      <c r="A32" t="s">
        <v>1244</v>
      </c>
      <c r="B32" t="s">
        <v>1245</v>
      </c>
      <c r="C32" s="710" t="s">
        <v>1163</v>
      </c>
      <c r="D32" s="710" t="s">
        <v>118</v>
      </c>
      <c r="E32" s="710"/>
      <c r="F32" s="30"/>
      <c r="I32" s="490" t="s">
        <v>660</v>
      </c>
    </row>
    <row r="33" spans="1:9" ht="15" customHeight="1">
      <c r="A33" t="s">
        <v>1246</v>
      </c>
      <c r="B33" t="s">
        <v>1247</v>
      </c>
      <c r="C33" s="710" t="s">
        <v>157</v>
      </c>
      <c r="D33" s="710" t="s">
        <v>118</v>
      </c>
      <c r="E33" s="710"/>
      <c r="F33" s="30"/>
      <c r="I33" s="490" t="str">
        <f>Print_Mois!V518</f>
        <v>Csst</v>
      </c>
    </row>
    <row r="34" spans="1:9" ht="15" customHeight="1">
      <c r="A34" t="s">
        <v>1248</v>
      </c>
      <c r="B34" t="s">
        <v>1249</v>
      </c>
      <c r="C34" s="710" t="s">
        <v>172</v>
      </c>
      <c r="D34" s="710" t="s">
        <v>118</v>
      </c>
      <c r="E34" s="710"/>
      <c r="F34" s="30"/>
      <c r="I34" s="490" t="s">
        <v>51</v>
      </c>
    </row>
    <row r="35" spans="1:9" ht="15" customHeight="1">
      <c r="A35" t="s">
        <v>1250</v>
      </c>
      <c r="B35" t="s">
        <v>1251</v>
      </c>
      <c r="C35" s="710" t="s">
        <v>176</v>
      </c>
      <c r="D35" s="710" t="s">
        <v>118</v>
      </c>
      <c r="E35" s="710"/>
      <c r="F35" s="30"/>
      <c r="I35" s="490"/>
    </row>
    <row r="36" spans="1:9" ht="15" customHeight="1">
      <c r="A36" t="s">
        <v>1252</v>
      </c>
      <c r="B36" t="s">
        <v>1253</v>
      </c>
      <c r="C36" s="710" t="s">
        <v>1162</v>
      </c>
      <c r="D36" s="710" t="s">
        <v>118</v>
      </c>
      <c r="E36" s="710"/>
      <c r="F36" s="30"/>
      <c r="I36" s="490" t="str">
        <f>Print_Mois!V516</f>
        <v>Déduction à la source</v>
      </c>
    </row>
    <row r="37" spans="1:9" ht="15" customHeight="1">
      <c r="A37" t="s">
        <v>1256</v>
      </c>
      <c r="B37" t="s">
        <v>1257</v>
      </c>
      <c r="C37" s="710" t="s">
        <v>88</v>
      </c>
      <c r="D37" s="710" t="s">
        <v>120</v>
      </c>
      <c r="E37" s="710"/>
      <c r="F37" s="30"/>
      <c r="I37" s="490" t="str">
        <f>Print_Mois!V533</f>
        <v>Divers</v>
      </c>
    </row>
    <row r="38" spans="1:9" ht="15" customHeight="1">
      <c r="A38" t="s">
        <v>1258</v>
      </c>
      <c r="B38" t="s">
        <v>1259</v>
      </c>
      <c r="C38" s="710" t="s">
        <v>148</v>
      </c>
      <c r="D38" s="710" t="s">
        <v>120</v>
      </c>
      <c r="E38" s="710"/>
      <c r="F38" s="30"/>
      <c r="I38" s="490" t="s">
        <v>83</v>
      </c>
    </row>
    <row r="39" spans="1:9" ht="15" customHeight="1">
      <c r="A39" t="s">
        <v>1260</v>
      </c>
      <c r="B39" t="s">
        <v>1261</v>
      </c>
      <c r="C39" s="710" t="s">
        <v>1163</v>
      </c>
      <c r="D39" s="710" t="s">
        <v>120</v>
      </c>
      <c r="E39" s="710"/>
      <c r="F39" s="30"/>
      <c r="I39" s="490" t="s">
        <v>210</v>
      </c>
    </row>
    <row r="40" spans="1:9" ht="15" customHeight="1">
      <c r="A40" t="s">
        <v>1262</v>
      </c>
      <c r="B40" t="s">
        <v>1263</v>
      </c>
      <c r="C40" s="710" t="s">
        <v>157</v>
      </c>
      <c r="D40" s="710" t="s">
        <v>120</v>
      </c>
      <c r="E40" s="710"/>
      <c r="F40" s="30"/>
      <c r="I40" s="490" t="s">
        <v>43</v>
      </c>
    </row>
    <row r="41" spans="1:9" ht="15" customHeight="1">
      <c r="A41" t="s">
        <v>1264</v>
      </c>
      <c r="B41" t="s">
        <v>1265</v>
      </c>
      <c r="C41" s="710" t="s">
        <v>172</v>
      </c>
      <c r="D41" s="710" t="s">
        <v>120</v>
      </c>
      <c r="E41" s="710"/>
      <c r="F41" s="30"/>
      <c r="I41" s="490" t="s">
        <v>45</v>
      </c>
    </row>
    <row r="42" spans="1:9" ht="15" customHeight="1">
      <c r="A42" t="s">
        <v>1266</v>
      </c>
      <c r="B42" t="s">
        <v>1267</v>
      </c>
      <c r="C42" s="710" t="s">
        <v>176</v>
      </c>
      <c r="D42" s="710" t="s">
        <v>120</v>
      </c>
      <c r="E42" s="710"/>
      <c r="F42" s="30"/>
      <c r="I42" s="490" t="s">
        <v>21</v>
      </c>
    </row>
    <row r="43" spans="1:9" ht="15" customHeight="1">
      <c r="A43" t="s">
        <v>1268</v>
      </c>
      <c r="B43" t="s">
        <v>1269</v>
      </c>
      <c r="C43" s="710" t="s">
        <v>1162</v>
      </c>
      <c r="D43" s="710" t="s">
        <v>120</v>
      </c>
      <c r="E43" s="710"/>
      <c r="F43" s="30"/>
      <c r="I43" s="490" t="s">
        <v>75</v>
      </c>
    </row>
    <row r="44" spans="1:9" ht="15" customHeight="1">
      <c r="A44" t="s">
        <v>1272</v>
      </c>
      <c r="B44" t="s">
        <v>1273</v>
      </c>
      <c r="C44" s="710" t="s">
        <v>88</v>
      </c>
      <c r="D44" s="710" t="s">
        <v>121</v>
      </c>
      <c r="E44" s="710"/>
      <c r="F44" s="30"/>
      <c r="I44" s="490" t="s">
        <v>72</v>
      </c>
    </row>
    <row r="45" spans="1:9" ht="15" customHeight="1">
      <c r="A45" t="s">
        <v>1274</v>
      </c>
      <c r="B45" t="s">
        <v>1275</v>
      </c>
      <c r="C45" s="710" t="s">
        <v>148</v>
      </c>
      <c r="D45" s="710" t="s">
        <v>121</v>
      </c>
      <c r="E45" s="710"/>
      <c r="F45" s="30"/>
      <c r="I45" s="490" t="s">
        <v>70</v>
      </c>
    </row>
    <row r="46" spans="1:9" ht="15" customHeight="1">
      <c r="A46" t="s">
        <v>1276</v>
      </c>
      <c r="B46" t="s">
        <v>1277</v>
      </c>
      <c r="C46" s="710" t="s">
        <v>1163</v>
      </c>
      <c r="D46" s="710" t="s">
        <v>121</v>
      </c>
      <c r="E46" s="710"/>
      <c r="F46" s="30"/>
      <c r="I46" s="490" t="s">
        <v>73</v>
      </c>
    </row>
    <row r="47" spans="1:9" ht="15" customHeight="1">
      <c r="A47" t="s">
        <v>1278</v>
      </c>
      <c r="B47" t="s">
        <v>1279</v>
      </c>
      <c r="C47" s="710" t="s">
        <v>157</v>
      </c>
      <c r="D47" s="710" t="s">
        <v>121</v>
      </c>
      <c r="E47" s="710"/>
      <c r="F47" s="30"/>
      <c r="I47" s="490" t="str">
        <f>Print_Mois!C378</f>
        <v>Escomptes</v>
      </c>
    </row>
    <row r="48" spans="1:9" ht="15" customHeight="1">
      <c r="A48" t="s">
        <v>1280</v>
      </c>
      <c r="B48" t="s">
        <v>1281</v>
      </c>
      <c r="C48" s="710" t="s">
        <v>172</v>
      </c>
      <c r="D48" s="710" t="s">
        <v>121</v>
      </c>
      <c r="E48" s="710"/>
      <c r="F48" s="30"/>
      <c r="I48" s="490" t="str">
        <f>Print_Mois!C15</f>
        <v>Ex-Démos et courtoisies</v>
      </c>
    </row>
    <row r="49" spans="1:9" ht="15" customHeight="1">
      <c r="A49" t="s">
        <v>1282</v>
      </c>
      <c r="B49" t="s">
        <v>1283</v>
      </c>
      <c r="C49" s="710" t="s">
        <v>176</v>
      </c>
      <c r="D49" s="710" t="s">
        <v>121</v>
      </c>
      <c r="E49" s="710"/>
      <c r="F49" s="30"/>
      <c r="I49" s="490" t="str">
        <f>Print_Mois!C17</f>
        <v>Flottes</v>
      </c>
    </row>
    <row r="50" spans="1:9" ht="15" customHeight="1">
      <c r="A50" t="s">
        <v>1284</v>
      </c>
      <c r="B50" t="s">
        <v>1285</v>
      </c>
      <c r="C50" s="710" t="s">
        <v>1162</v>
      </c>
      <c r="D50" s="710" t="s">
        <v>121</v>
      </c>
      <c r="E50" s="710"/>
      <c r="F50" s="30"/>
      <c r="I50" s="490" t="s">
        <v>661</v>
      </c>
    </row>
    <row r="51" spans="1:9" ht="15" customHeight="1">
      <c r="A51" t="s">
        <v>1288</v>
      </c>
      <c r="B51" t="s">
        <v>1289</v>
      </c>
      <c r="C51" s="710" t="s">
        <v>88</v>
      </c>
      <c r="D51" s="710" t="s">
        <v>122</v>
      </c>
      <c r="E51" s="710"/>
      <c r="F51" s="30"/>
      <c r="I51" s="490" t="str">
        <f>Print_Mois!V528</f>
        <v>Fournitures autres</v>
      </c>
    </row>
    <row r="52" spans="1:9" ht="15" customHeight="1">
      <c r="A52" t="s">
        <v>1290</v>
      </c>
      <c r="B52" t="s">
        <v>1291</v>
      </c>
      <c r="C52" s="710" t="s">
        <v>148</v>
      </c>
      <c r="D52" s="710" t="s">
        <v>122</v>
      </c>
      <c r="E52" s="710"/>
      <c r="F52" s="30"/>
      <c r="I52" s="490" t="str">
        <f>Print_Mois!V567</f>
        <v>Frais administration</v>
      </c>
    </row>
    <row r="53" spans="1:9" ht="15" customHeight="1">
      <c r="A53" t="s">
        <v>1292</v>
      </c>
      <c r="B53" t="s">
        <v>1293</v>
      </c>
      <c r="C53" s="710" t="s">
        <v>1163</v>
      </c>
      <c r="D53" s="710" t="s">
        <v>122</v>
      </c>
      <c r="E53" s="710"/>
      <c r="F53" s="30"/>
      <c r="I53" s="490"/>
    </row>
    <row r="54" spans="1:9" ht="15" customHeight="1">
      <c r="A54" t="s">
        <v>1294</v>
      </c>
      <c r="B54" t="s">
        <v>1295</v>
      </c>
      <c r="C54" s="710" t="s">
        <v>157</v>
      </c>
      <c r="D54" s="710" t="s">
        <v>122</v>
      </c>
      <c r="E54" s="710"/>
      <c r="F54" s="30"/>
      <c r="I54" s="490"/>
    </row>
    <row r="55" spans="1:9" ht="15" customHeight="1">
      <c r="A55" t="s">
        <v>1296</v>
      </c>
      <c r="B55" t="s">
        <v>1297</v>
      </c>
      <c r="C55" s="710" t="s">
        <v>172</v>
      </c>
      <c r="D55" s="710" t="s">
        <v>122</v>
      </c>
      <c r="E55" s="710"/>
      <c r="F55" s="30"/>
      <c r="I55" s="490" t="s">
        <v>138</v>
      </c>
    </row>
    <row r="56" spans="1:9" ht="15" customHeight="1">
      <c r="A56" t="s">
        <v>1298</v>
      </c>
      <c r="B56" t="s">
        <v>1299</v>
      </c>
      <c r="C56" s="710" t="s">
        <v>176</v>
      </c>
      <c r="D56" s="710" t="s">
        <v>122</v>
      </c>
      <c r="E56" s="710"/>
      <c r="F56" s="30"/>
      <c r="I56" s="490"/>
    </row>
    <row r="57" spans="1:9" ht="15" customHeight="1">
      <c r="A57" t="s">
        <v>1300</v>
      </c>
      <c r="B57" t="s">
        <v>1301</v>
      </c>
      <c r="C57" s="710" t="s">
        <v>1162</v>
      </c>
      <c r="D57" s="710" t="s">
        <v>122</v>
      </c>
      <c r="E57" s="710"/>
      <c r="F57" s="30"/>
      <c r="I57" s="490" t="str">
        <f>Print_Mois!V538</f>
        <v>[...]</v>
      </c>
    </row>
    <row r="58" spans="1:9" ht="15" customHeight="1">
      <c r="A58" t="s">
        <v>1306</v>
      </c>
      <c r="B58" t="s">
        <v>1307</v>
      </c>
      <c r="C58" s="710" t="s">
        <v>88</v>
      </c>
      <c r="D58" s="710" t="s">
        <v>123</v>
      </c>
      <c r="E58" s="710"/>
      <c r="F58" s="30"/>
      <c r="I58" s="490" t="s">
        <v>662</v>
      </c>
    </row>
    <row r="59" spans="1:9" ht="15" customHeight="1">
      <c r="A59" t="s">
        <v>1308</v>
      </c>
      <c r="B59" t="s">
        <v>1309</v>
      </c>
      <c r="C59" s="710" t="s">
        <v>148</v>
      </c>
      <c r="D59" s="710" t="s">
        <v>123</v>
      </c>
      <c r="E59" s="710"/>
      <c r="F59" s="30"/>
      <c r="I59" s="490" t="str">
        <f>Print_Mois!V532</f>
        <v>Frais postaux</v>
      </c>
    </row>
    <row r="60" spans="1:9" ht="15" customHeight="1">
      <c r="A60" t="s">
        <v>1310</v>
      </c>
      <c r="B60" t="s">
        <v>1311</v>
      </c>
      <c r="C60" s="710" t="s">
        <v>1163</v>
      </c>
      <c r="D60" s="710" t="s">
        <v>123</v>
      </c>
      <c r="E60" s="710"/>
      <c r="F60" s="30"/>
      <c r="I60" s="490" t="s">
        <v>663</v>
      </c>
    </row>
    <row r="61" spans="1:9" ht="15" customHeight="1">
      <c r="A61" t="s">
        <v>1312</v>
      </c>
      <c r="B61" t="s">
        <v>1313</v>
      </c>
      <c r="C61" s="710" t="s">
        <v>157</v>
      </c>
      <c r="D61" s="710" t="s">
        <v>123</v>
      </c>
      <c r="E61" s="710"/>
      <c r="F61" s="30"/>
      <c r="I61" s="490" t="str">
        <f>Print_Mois!V523</f>
        <v>Frais véhicules de cie</v>
      </c>
    </row>
    <row r="62" spans="1:9" ht="15" customHeight="1">
      <c r="A62" t="s">
        <v>1314</v>
      </c>
      <c r="B62" t="s">
        <v>1315</v>
      </c>
      <c r="C62" s="710" t="s">
        <v>172</v>
      </c>
      <c r="D62" s="710" t="s">
        <v>123</v>
      </c>
      <c r="E62" s="710"/>
      <c r="F62" s="30"/>
      <c r="I62" s="490"/>
    </row>
    <row r="63" spans="1:9" ht="15" customHeight="1">
      <c r="A63" t="s">
        <v>1316</v>
      </c>
      <c r="B63" t="s">
        <v>1317</v>
      </c>
      <c r="C63" s="710" t="s">
        <v>176</v>
      </c>
      <c r="D63" s="710" t="s">
        <v>123</v>
      </c>
      <c r="E63" s="710"/>
      <c r="F63" s="30"/>
      <c r="I63" s="490" t="s">
        <v>664</v>
      </c>
    </row>
    <row r="64" spans="1:9" ht="15" customHeight="1">
      <c r="A64" t="s">
        <v>1318</v>
      </c>
      <c r="B64" t="s">
        <v>1319</v>
      </c>
      <c r="C64" s="710" t="s">
        <v>1162</v>
      </c>
      <c r="D64" s="710" t="s">
        <v>123</v>
      </c>
      <c r="E64" s="710"/>
      <c r="F64" s="30"/>
      <c r="I64" s="490" t="str">
        <f>Print_Mois!V557</f>
        <v>Holdbacks</v>
      </c>
    </row>
    <row r="65" spans="1:9" ht="15" customHeight="1">
      <c r="A65" t="s">
        <v>1324</v>
      </c>
      <c r="B65" t="s">
        <v>1325</v>
      </c>
      <c r="C65" s="710" t="s">
        <v>88</v>
      </c>
      <c r="D65" s="710" t="s">
        <v>135</v>
      </c>
      <c r="E65" s="710"/>
      <c r="F65" s="30"/>
      <c r="I65" s="490" t="s">
        <v>65</v>
      </c>
    </row>
    <row r="66" spans="1:9" ht="15" customHeight="1">
      <c r="A66" t="s">
        <v>1326</v>
      </c>
      <c r="B66" t="s">
        <v>1327</v>
      </c>
      <c r="C66" s="710" t="s">
        <v>148</v>
      </c>
      <c r="D66" s="710" t="s">
        <v>135</v>
      </c>
      <c r="E66" s="710"/>
      <c r="F66" s="30"/>
      <c r="I66" s="490" t="s">
        <v>33</v>
      </c>
    </row>
    <row r="67" spans="1:9" ht="15" customHeight="1">
      <c r="A67" t="s">
        <v>1328</v>
      </c>
      <c r="B67" t="s">
        <v>1329</v>
      </c>
      <c r="C67" s="710" t="s">
        <v>1163</v>
      </c>
      <c r="D67" s="710" t="s">
        <v>135</v>
      </c>
      <c r="E67" s="710"/>
      <c r="F67" s="30"/>
      <c r="I67" s="490" t="s">
        <v>61</v>
      </c>
    </row>
    <row r="68" spans="1:9" ht="15" customHeight="1">
      <c r="A68" t="s">
        <v>1330</v>
      </c>
      <c r="B68" t="s">
        <v>1331</v>
      </c>
      <c r="C68" s="710" t="s">
        <v>157</v>
      </c>
      <c r="D68" s="710" t="s">
        <v>135</v>
      </c>
      <c r="E68" s="710"/>
      <c r="F68" s="30"/>
      <c r="I68" s="490" t="str">
        <f>Print_Mois!V524</f>
        <v>Informatique</v>
      </c>
    </row>
    <row r="69" spans="1:9" ht="15" customHeight="1">
      <c r="A69" t="s">
        <v>1332</v>
      </c>
      <c r="B69" t="s">
        <v>1333</v>
      </c>
      <c r="C69" s="710" t="s">
        <v>172</v>
      </c>
      <c r="D69" s="710" t="s">
        <v>135</v>
      </c>
      <c r="E69" s="710"/>
      <c r="F69" s="30"/>
      <c r="I69" s="490" t="s">
        <v>173</v>
      </c>
    </row>
    <row r="70" spans="1:9" ht="15" customHeight="1">
      <c r="A70" t="s">
        <v>1334</v>
      </c>
      <c r="B70" t="s">
        <v>1335</v>
      </c>
      <c r="C70" s="710" t="s">
        <v>176</v>
      </c>
      <c r="D70" s="710" t="s">
        <v>135</v>
      </c>
      <c r="E70" s="710"/>
      <c r="F70" s="30"/>
      <c r="I70" s="490" t="s">
        <v>113</v>
      </c>
    </row>
    <row r="71" spans="1:9" ht="15" customHeight="1">
      <c r="A71" t="s">
        <v>1338</v>
      </c>
      <c r="B71" t="s">
        <v>1339</v>
      </c>
      <c r="C71" s="710" t="s">
        <v>88</v>
      </c>
      <c r="D71" s="710" t="s">
        <v>127</v>
      </c>
      <c r="E71" s="710"/>
      <c r="F71" s="30"/>
      <c r="I71" s="490" t="str">
        <f>Print_Mois!V579</f>
        <v>Intérêts sur marge</v>
      </c>
    </row>
    <row r="72" spans="1:9" ht="15" customHeight="1">
      <c r="A72" t="s">
        <v>1340</v>
      </c>
      <c r="B72" t="s">
        <v>1341</v>
      </c>
      <c r="C72" s="710" t="s">
        <v>148</v>
      </c>
      <c r="D72" s="710" t="s">
        <v>127</v>
      </c>
      <c r="E72" s="710"/>
      <c r="F72" s="30"/>
      <c r="I72" s="490"/>
    </row>
    <row r="73" spans="1:9" ht="15" customHeight="1">
      <c r="A73" t="s">
        <v>1342</v>
      </c>
      <c r="B73" t="s">
        <v>1343</v>
      </c>
      <c r="C73" s="710" t="s">
        <v>1163</v>
      </c>
      <c r="D73" s="710" t="s">
        <v>127</v>
      </c>
      <c r="E73" s="710"/>
      <c r="F73" s="30"/>
      <c r="I73" s="490" t="str">
        <f>Print_Mois!V580</f>
        <v>Intérêts sur prêt</v>
      </c>
    </row>
    <row r="74" spans="1:9" ht="15" customHeight="1">
      <c r="A74" t="s">
        <v>1344</v>
      </c>
      <c r="B74" t="s">
        <v>1345</v>
      </c>
      <c r="C74" s="710" t="s">
        <v>157</v>
      </c>
      <c r="D74" s="710" t="s">
        <v>127</v>
      </c>
      <c r="E74" s="710"/>
      <c r="F74" s="30"/>
      <c r="I74" s="490" t="s">
        <v>46</v>
      </c>
    </row>
    <row r="75" spans="1:9" ht="15" customHeight="1">
      <c r="A75" t="s">
        <v>1346</v>
      </c>
      <c r="B75" t="s">
        <v>1347</v>
      </c>
      <c r="C75" s="710" t="s">
        <v>172</v>
      </c>
      <c r="D75" s="710" t="s">
        <v>127</v>
      </c>
      <c r="E75" s="710"/>
      <c r="F75" s="30"/>
      <c r="I75" s="490" t="s">
        <v>42</v>
      </c>
    </row>
    <row r="76" spans="1:9" ht="15" customHeight="1">
      <c r="A76" t="s">
        <v>1348</v>
      </c>
      <c r="B76" t="s">
        <v>1349</v>
      </c>
      <c r="C76" s="710" t="s">
        <v>176</v>
      </c>
      <c r="D76" s="710" t="s">
        <v>127</v>
      </c>
      <c r="E76" s="710"/>
      <c r="F76" s="30"/>
      <c r="I76" s="490"/>
    </row>
    <row r="77" spans="1:9" ht="15" customHeight="1">
      <c r="A77" s="937" t="s">
        <v>1352</v>
      </c>
      <c r="B77" s="937" t="s">
        <v>1353</v>
      </c>
      <c r="C77" s="940"/>
      <c r="D77" s="940"/>
      <c r="E77" s="940"/>
      <c r="F77" s="30"/>
      <c r="I77" s="490" t="str">
        <f>Print_Mois!V548</f>
        <v>Location équipement</v>
      </c>
    </row>
    <row r="78" spans="1:9" ht="15" customHeight="1">
      <c r="A78" s="937" t="s">
        <v>1354</v>
      </c>
      <c r="B78" s="937" t="s">
        <v>1355</v>
      </c>
      <c r="C78" s="940"/>
      <c r="D78" s="940"/>
      <c r="E78" s="940"/>
      <c r="F78" s="30"/>
      <c r="I78" s="490" t="str">
        <f>Print_Mois!V540</f>
        <v>Loyer</v>
      </c>
    </row>
    <row r="79" spans="1:9" ht="15" customHeight="1">
      <c r="A79" s="937" t="s">
        <v>1356</v>
      </c>
      <c r="B79" s="937" t="s">
        <v>1357</v>
      </c>
      <c r="C79" s="940"/>
      <c r="D79" s="940"/>
      <c r="E79" s="940"/>
      <c r="F79" s="30"/>
      <c r="I79" s="490" t="str">
        <f>Print_Mois!C318</f>
        <v>Carrosserie Interne</v>
      </c>
    </row>
    <row r="80" spans="1:9" ht="15" customHeight="1">
      <c r="A80" t="s">
        <v>1358</v>
      </c>
      <c r="B80" t="s">
        <v>1359</v>
      </c>
      <c r="C80" s="710" t="s">
        <v>88</v>
      </c>
      <c r="D80" s="710" t="s">
        <v>136</v>
      </c>
      <c r="E80" s="710"/>
      <c r="F80" s="30"/>
      <c r="I80" s="490" t="str">
        <f>Print_Mois!C246</f>
        <v>M/O Client</v>
      </c>
    </row>
    <row r="81" spans="1:9" ht="15" customHeight="1">
      <c r="A81" t="s">
        <v>1360</v>
      </c>
      <c r="B81" t="s">
        <v>1361</v>
      </c>
      <c r="C81" s="710" t="s">
        <v>148</v>
      </c>
      <c r="D81" s="710" t="s">
        <v>136</v>
      </c>
      <c r="E81" s="710"/>
      <c r="F81" s="30"/>
      <c r="I81" s="490" t="str">
        <f>Print_Mois!C255</f>
        <v>M/O Esthétique</v>
      </c>
    </row>
    <row r="82" spans="1:9" ht="15" customHeight="1">
      <c r="A82" t="s">
        <v>1362</v>
      </c>
      <c r="B82" t="s">
        <v>1363</v>
      </c>
      <c r="C82" s="710" t="s">
        <v>157</v>
      </c>
      <c r="D82" s="710" t="s">
        <v>136</v>
      </c>
      <c r="E82" s="710"/>
      <c r="F82" s="30"/>
      <c r="I82" s="490" t="str">
        <f>+Print_Mois!C321</f>
        <v>Carrosserie Concessions</v>
      </c>
    </row>
    <row r="83" spans="1:9" ht="15" customHeight="1">
      <c r="A83" t="s">
        <v>1364</v>
      </c>
      <c r="B83" t="s">
        <v>1365</v>
      </c>
      <c r="C83" s="710" t="s">
        <v>176</v>
      </c>
      <c r="D83" s="710" t="s">
        <v>136</v>
      </c>
      <c r="E83" s="710"/>
      <c r="F83" s="30"/>
      <c r="I83" s="490" t="str">
        <f>Print_Mois!C249</f>
        <v>M/O Garantie</v>
      </c>
    </row>
    <row r="84" spans="1:9" ht="15" customHeight="1">
      <c r="A84" t="s">
        <v>1368</v>
      </c>
      <c r="B84" t="s">
        <v>1369</v>
      </c>
      <c r="C84" s="710" t="s">
        <v>88</v>
      </c>
      <c r="D84" s="710" t="s">
        <v>138</v>
      </c>
      <c r="E84" s="710"/>
      <c r="F84" s="30"/>
      <c r="I84" s="490" t="s">
        <v>22</v>
      </c>
    </row>
    <row r="85" spans="1:9" ht="15" customHeight="1">
      <c r="A85" t="s">
        <v>1370</v>
      </c>
      <c r="B85" t="s">
        <v>1371</v>
      </c>
      <c r="C85" s="710" t="s">
        <v>148</v>
      </c>
      <c r="D85" s="710" t="s">
        <v>138</v>
      </c>
      <c r="E85" s="710"/>
      <c r="F85" s="30"/>
      <c r="I85" s="490" t="s">
        <v>665</v>
      </c>
    </row>
    <row r="86" spans="1:9" ht="15" customHeight="1">
      <c r="A86" t="s">
        <v>1372</v>
      </c>
      <c r="B86" t="s">
        <v>1373</v>
      </c>
      <c r="C86" s="710" t="s">
        <v>1163</v>
      </c>
      <c r="D86" s="710" t="s">
        <v>138</v>
      </c>
      <c r="E86" s="710"/>
      <c r="F86" s="30"/>
      <c r="I86" s="490" t="s">
        <v>71</v>
      </c>
    </row>
    <row r="87" spans="1:9" ht="15" customHeight="1">
      <c r="A87" t="s">
        <v>1374</v>
      </c>
      <c r="B87" t="s">
        <v>1375</v>
      </c>
      <c r="C87" s="710" t="s">
        <v>157</v>
      </c>
      <c r="D87" s="710" t="s">
        <v>138</v>
      </c>
      <c r="E87" s="710"/>
      <c r="F87" s="30"/>
      <c r="I87" s="490" t="str">
        <f>Print_Mois!C95</f>
        <v>Non Certifié</v>
      </c>
    </row>
    <row r="88" spans="1:9" ht="15" customHeight="1">
      <c r="A88" t="s">
        <v>1376</v>
      </c>
      <c r="B88" t="s">
        <v>1377</v>
      </c>
      <c r="C88" s="710" t="s">
        <v>172</v>
      </c>
      <c r="D88" s="710" t="s">
        <v>138</v>
      </c>
      <c r="E88" s="710"/>
      <c r="F88" s="30"/>
      <c r="I88" s="490"/>
    </row>
    <row r="89" spans="1:9" ht="15" customHeight="1">
      <c r="A89" t="s">
        <v>1378</v>
      </c>
      <c r="B89" t="s">
        <v>1379</v>
      </c>
      <c r="C89" s="710" t="s">
        <v>176</v>
      </c>
      <c r="D89" s="710" t="s">
        <v>138</v>
      </c>
      <c r="E89" s="710"/>
      <c r="F89" s="30"/>
      <c r="I89" s="490"/>
    </row>
    <row r="90" spans="1:9" ht="15" customHeight="1">
      <c r="A90" t="s">
        <v>1382</v>
      </c>
      <c r="B90" t="s">
        <v>1383</v>
      </c>
      <c r="C90" s="710" t="s">
        <v>88</v>
      </c>
      <c r="D90" s="710" t="s">
        <v>133</v>
      </c>
      <c r="E90" s="710"/>
      <c r="F90" s="30"/>
      <c r="I90" s="490" t="str">
        <f>Print_Mois!C373</f>
        <v>P/A Garantie</v>
      </c>
    </row>
    <row r="91" spans="1:9" ht="15" customHeight="1">
      <c r="A91" t="s">
        <v>1384</v>
      </c>
      <c r="B91" t="s">
        <v>1385</v>
      </c>
      <c r="C91" s="710" t="s">
        <v>148</v>
      </c>
      <c r="D91" s="710" t="s">
        <v>133</v>
      </c>
      <c r="E91" s="710"/>
      <c r="F91" s="30"/>
      <c r="I91" s="490" t="str">
        <f>Print_Mois!V530</f>
        <v>Papeterie</v>
      </c>
    </row>
    <row r="92" spans="1:9" ht="15" customHeight="1">
      <c r="A92" t="s">
        <v>1386</v>
      </c>
      <c r="B92" t="s">
        <v>1387</v>
      </c>
      <c r="C92" s="710" t="s">
        <v>1163</v>
      </c>
      <c r="D92" s="710" t="s">
        <v>133</v>
      </c>
      <c r="E92" s="710"/>
      <c r="F92" s="30"/>
      <c r="I92" s="490"/>
    </row>
    <row r="93" spans="1:9" ht="15" customHeight="1">
      <c r="A93" t="s">
        <v>1388</v>
      </c>
      <c r="B93" t="s">
        <v>1389</v>
      </c>
      <c r="C93" s="710" t="s">
        <v>157</v>
      </c>
      <c r="D93" s="710" t="s">
        <v>133</v>
      </c>
      <c r="E93" s="710"/>
      <c r="F93" s="30"/>
      <c r="I93" s="490" t="str">
        <f>Print_Mois!C372</f>
        <v>Pièces Ro Carrosserie</v>
      </c>
    </row>
    <row r="94" spans="1:9" ht="15" customHeight="1">
      <c r="A94" t="s">
        <v>1390</v>
      </c>
      <c r="B94" t="s">
        <v>1391</v>
      </c>
      <c r="C94" s="710" t="s">
        <v>172</v>
      </c>
      <c r="D94" s="710" t="s">
        <v>133</v>
      </c>
      <c r="E94" s="710"/>
      <c r="F94" s="30"/>
      <c r="I94" s="490"/>
    </row>
    <row r="95" spans="1:9" ht="15" customHeight="1">
      <c r="A95" t="s">
        <v>1392</v>
      </c>
      <c r="B95" t="s">
        <v>1393</v>
      </c>
      <c r="C95" s="710" t="s">
        <v>176</v>
      </c>
      <c r="D95" s="710" t="s">
        <v>133</v>
      </c>
      <c r="E95" s="710"/>
      <c r="F95" s="30"/>
      <c r="I95" s="490" t="str">
        <f>Print_Mois!C371</f>
        <v>Pièces Ro Clients</v>
      </c>
    </row>
    <row r="96" spans="1:9" ht="15" customHeight="1">
      <c r="A96" t="s">
        <v>1396</v>
      </c>
      <c r="B96" t="s">
        <v>1397</v>
      </c>
      <c r="C96" s="710" t="s">
        <v>88</v>
      </c>
      <c r="D96" s="710" t="s">
        <v>131</v>
      </c>
      <c r="E96" s="710"/>
      <c r="F96" s="30"/>
      <c r="I96" s="490" t="s">
        <v>24</v>
      </c>
    </row>
    <row r="97" spans="1:9" ht="15" customHeight="1">
      <c r="A97" t="s">
        <v>1398</v>
      </c>
      <c r="B97" t="s">
        <v>1399</v>
      </c>
      <c r="C97" s="710" t="s">
        <v>148</v>
      </c>
      <c r="D97" s="710" t="s">
        <v>131</v>
      </c>
      <c r="E97" s="710"/>
      <c r="F97" s="30"/>
      <c r="I97" s="490" t="str">
        <f>Print_Mois!V558</f>
        <v>Programme Excellence</v>
      </c>
    </row>
    <row r="98" spans="1:9" ht="15" customHeight="1">
      <c r="A98" t="s">
        <v>1400</v>
      </c>
      <c r="B98" t="s">
        <v>1401</v>
      </c>
      <c r="C98" s="710" t="s">
        <v>1163</v>
      </c>
      <c r="D98" s="710" t="s">
        <v>131</v>
      </c>
      <c r="E98" s="710"/>
      <c r="F98" s="30"/>
      <c r="I98" s="490" t="s">
        <v>37</v>
      </c>
    </row>
    <row r="99" spans="1:9" ht="15" customHeight="1">
      <c r="A99" t="s">
        <v>1402</v>
      </c>
      <c r="B99" t="s">
        <v>1403</v>
      </c>
      <c r="C99" s="710" t="s">
        <v>157</v>
      </c>
      <c r="D99" s="710" t="s">
        <v>131</v>
      </c>
      <c r="E99" s="710"/>
      <c r="F99" s="30"/>
      <c r="I99" s="490"/>
    </row>
    <row r="100" spans="1:9" ht="15" customHeight="1">
      <c r="A100" s="938" t="s">
        <v>1404</v>
      </c>
      <c r="B100" s="938" t="s">
        <v>1405</v>
      </c>
      <c r="C100" s="939" t="s">
        <v>172</v>
      </c>
      <c r="D100" s="939" t="s">
        <v>1174</v>
      </c>
      <c r="E100" s="939"/>
      <c r="F100" s="30"/>
      <c r="I100" s="490" t="str">
        <f>Print_Mois!V559</f>
        <v>Programme neuf 2</v>
      </c>
    </row>
    <row r="101" spans="1:9" ht="15" customHeight="1">
      <c r="A101" t="s">
        <v>1406</v>
      </c>
      <c r="B101" t="s">
        <v>1407</v>
      </c>
      <c r="C101" s="710" t="s">
        <v>176</v>
      </c>
      <c r="D101" s="710" t="s">
        <v>131</v>
      </c>
      <c r="E101" s="710"/>
      <c r="F101" s="30"/>
      <c r="I101" s="490" t="str">
        <f>Print_Mois!V560</f>
        <v>Programme neuf 3</v>
      </c>
    </row>
    <row r="102" spans="1:9" ht="15" customHeight="1">
      <c r="A102" s="937" t="s">
        <v>1408</v>
      </c>
      <c r="B102" s="937" t="s">
        <v>1409</v>
      </c>
      <c r="C102" s="940" t="s">
        <v>157</v>
      </c>
      <c r="D102" s="940" t="s">
        <v>131</v>
      </c>
      <c r="E102" s="940"/>
      <c r="F102" s="30"/>
      <c r="I102" s="490" t="s">
        <v>112</v>
      </c>
    </row>
    <row r="103" spans="1:9" ht="15" customHeight="1">
      <c r="A103" t="s">
        <v>1412</v>
      </c>
      <c r="B103" t="s">
        <v>1413</v>
      </c>
      <c r="C103" s="710" t="s">
        <v>88</v>
      </c>
      <c r="D103" s="710" t="s">
        <v>112</v>
      </c>
      <c r="E103" s="710"/>
      <c r="F103" s="30"/>
      <c r="I103" s="490">
        <f>Print_Mois!C19</f>
        <v>0</v>
      </c>
    </row>
    <row r="104" spans="1:9" ht="15" customHeight="1">
      <c r="A104" t="s">
        <v>1414</v>
      </c>
      <c r="B104" t="s">
        <v>1413</v>
      </c>
      <c r="C104" s="710" t="s">
        <v>148</v>
      </c>
      <c r="D104" s="710" t="s">
        <v>112</v>
      </c>
      <c r="E104" s="710"/>
      <c r="F104" s="30"/>
      <c r="I104" s="490" t="s">
        <v>38</v>
      </c>
    </row>
    <row r="105" spans="1:9" ht="15" customHeight="1">
      <c r="A105" t="s">
        <v>1415</v>
      </c>
      <c r="B105" t="s">
        <v>1416</v>
      </c>
      <c r="C105" s="710" t="s">
        <v>1163</v>
      </c>
      <c r="D105" s="710" t="s">
        <v>112</v>
      </c>
      <c r="E105" s="710"/>
      <c r="F105" s="30"/>
      <c r="I105" s="490"/>
    </row>
    <row r="106" spans="1:9" ht="15" customHeight="1">
      <c r="A106" t="s">
        <v>1417</v>
      </c>
      <c r="B106" t="s">
        <v>1413</v>
      </c>
      <c r="C106" s="710" t="s">
        <v>157</v>
      </c>
      <c r="D106" s="710" t="s">
        <v>125</v>
      </c>
      <c r="E106" s="710"/>
      <c r="F106" s="30"/>
      <c r="I106" s="490" t="s">
        <v>34</v>
      </c>
    </row>
    <row r="107" spans="1:9" ht="15" customHeight="1">
      <c r="A107" t="s">
        <v>1418</v>
      </c>
      <c r="B107" t="s">
        <v>1413</v>
      </c>
      <c r="C107" s="710" t="s">
        <v>172</v>
      </c>
      <c r="D107" s="710" t="s">
        <v>125</v>
      </c>
      <c r="E107" s="710"/>
      <c r="F107" s="30"/>
      <c r="I107" s="490" t="s">
        <v>25</v>
      </c>
    </row>
    <row r="108" spans="1:9" ht="15" customHeight="1">
      <c r="A108" t="s">
        <v>1419</v>
      </c>
      <c r="B108" t="s">
        <v>1413</v>
      </c>
      <c r="C108" s="710" t="s">
        <v>176</v>
      </c>
      <c r="D108" s="710" t="s">
        <v>125</v>
      </c>
      <c r="E108" s="710"/>
      <c r="F108" s="30"/>
      <c r="I108" s="490" t="s">
        <v>25</v>
      </c>
    </row>
    <row r="109" spans="1:9" ht="15" customHeight="1">
      <c r="A109" t="s">
        <v>1420</v>
      </c>
      <c r="B109" t="s">
        <v>1421</v>
      </c>
      <c r="C109" s="710" t="s">
        <v>88</v>
      </c>
      <c r="D109" s="710" t="s">
        <v>112</v>
      </c>
      <c r="E109" s="710"/>
      <c r="F109" s="30"/>
      <c r="I109" s="490" t="s">
        <v>32</v>
      </c>
    </row>
    <row r="110" spans="1:9" ht="15" customHeight="1">
      <c r="A110" t="s">
        <v>1422</v>
      </c>
      <c r="B110" t="s">
        <v>1421</v>
      </c>
      <c r="C110" s="710" t="s">
        <v>148</v>
      </c>
      <c r="D110" s="710" t="s">
        <v>112</v>
      </c>
      <c r="E110" s="710"/>
      <c r="F110" s="30"/>
      <c r="I110" s="490" t="s">
        <v>30</v>
      </c>
    </row>
    <row r="111" spans="1:9" ht="15" customHeight="1">
      <c r="A111" t="s">
        <v>1423</v>
      </c>
      <c r="B111" t="s">
        <v>1421</v>
      </c>
      <c r="C111" s="710" t="s">
        <v>157</v>
      </c>
      <c r="D111" s="710" t="s">
        <v>125</v>
      </c>
      <c r="E111" s="710"/>
      <c r="F111" s="30"/>
      <c r="I111" s="490" t="s">
        <v>26</v>
      </c>
    </row>
    <row r="112" spans="1:9" ht="15" customHeight="1">
      <c r="A112" t="s">
        <v>1424</v>
      </c>
      <c r="B112" t="s">
        <v>1425</v>
      </c>
      <c r="C112" s="710" t="s">
        <v>172</v>
      </c>
      <c r="D112" s="710" t="s">
        <v>125</v>
      </c>
      <c r="E112" s="710"/>
      <c r="F112" s="30"/>
      <c r="I112" s="490" t="s">
        <v>185</v>
      </c>
    </row>
    <row r="113" spans="1:27" ht="15" customHeight="1">
      <c r="A113" t="s">
        <v>1426</v>
      </c>
      <c r="B113" t="s">
        <v>1421</v>
      </c>
      <c r="C113" s="710" t="s">
        <v>176</v>
      </c>
      <c r="D113" s="710" t="s">
        <v>125</v>
      </c>
      <c r="E113" s="710"/>
      <c r="F113" s="30"/>
      <c r="I113" s="490" t="s">
        <v>36</v>
      </c>
    </row>
    <row r="114" spans="1:27" ht="15" customHeight="1">
      <c r="A114" t="s">
        <v>1427</v>
      </c>
      <c r="B114" s="706" t="s">
        <v>1428</v>
      </c>
      <c r="C114" s="710" t="s">
        <v>1162</v>
      </c>
      <c r="D114" s="710" t="s">
        <v>125</v>
      </c>
      <c r="E114" s="710"/>
      <c r="F114" s="30"/>
      <c r="I114" s="490" t="str">
        <f>Print_Mois!V547</f>
        <v>Réparation équipement</v>
      </c>
    </row>
    <row r="115" spans="1:27" ht="15" customHeight="1">
      <c r="A115" t="s">
        <v>1432</v>
      </c>
      <c r="B115" t="s">
        <v>1433</v>
      </c>
      <c r="C115" s="710" t="s">
        <v>88</v>
      </c>
      <c r="D115" s="710" t="s">
        <v>112</v>
      </c>
      <c r="E115" s="710"/>
      <c r="F115" s="30"/>
      <c r="I115" s="490" t="str">
        <f>Print_Mois!C24</f>
        <v>Total F&amp;I</v>
      </c>
    </row>
    <row r="116" spans="1:27" ht="15" customHeight="1">
      <c r="A116" t="s">
        <v>1434</v>
      </c>
      <c r="B116" t="s">
        <v>1435</v>
      </c>
      <c r="C116" s="710" t="s">
        <v>148</v>
      </c>
      <c r="D116" s="710" t="s">
        <v>112</v>
      </c>
      <c r="E116" s="710"/>
      <c r="F116" s="30"/>
      <c r="I116" s="490" t="str">
        <f>Print_Mois!C21</f>
        <v>Rev. Finances</v>
      </c>
    </row>
    <row r="117" spans="1:27" ht="15" customHeight="1">
      <c r="A117" t="s">
        <v>1436</v>
      </c>
      <c r="B117" t="s">
        <v>1437</v>
      </c>
      <c r="C117" s="710" t="s">
        <v>1163</v>
      </c>
      <c r="D117" s="710" t="s">
        <v>112</v>
      </c>
      <c r="E117" s="710"/>
      <c r="F117" s="30"/>
      <c r="I117" s="490" t="str">
        <f>Print_Mois!C22</f>
        <v>Rev. Protections</v>
      </c>
    </row>
    <row r="118" spans="1:27" ht="15" customHeight="1">
      <c r="A118" t="s">
        <v>1438</v>
      </c>
      <c r="B118" t="s">
        <v>1439</v>
      </c>
      <c r="C118" s="710" t="s">
        <v>157</v>
      </c>
      <c r="D118" s="710" t="s">
        <v>125</v>
      </c>
      <c r="E118" s="710"/>
      <c r="F118" s="30"/>
      <c r="I118" s="490" t="str">
        <f>Print_Mois!V556</f>
        <v>Revenus autres</v>
      </c>
    </row>
    <row r="119" spans="1:27" ht="15" customHeight="1">
      <c r="A119" t="s">
        <v>1440</v>
      </c>
      <c r="B119" t="s">
        <v>1441</v>
      </c>
      <c r="C119" s="710" t="s">
        <v>172</v>
      </c>
      <c r="D119" s="710" t="s">
        <v>125</v>
      </c>
      <c r="E119" s="710"/>
      <c r="F119" s="30"/>
      <c r="I119" s="490" t="s">
        <v>49</v>
      </c>
    </row>
    <row r="120" spans="1:27" ht="15" customHeight="1">
      <c r="A120" t="s">
        <v>1442</v>
      </c>
      <c r="B120" t="s">
        <v>1443</v>
      </c>
      <c r="C120" s="710" t="s">
        <v>176</v>
      </c>
      <c r="D120" s="710" t="s">
        <v>125</v>
      </c>
      <c r="E120" s="710"/>
      <c r="F120" s="30"/>
      <c r="I120" s="490" t="str">
        <f>Print_Mois!V510</f>
        <v>Salaires autres</v>
      </c>
    </row>
    <row r="121" spans="1:27" ht="15" customHeight="1">
      <c r="A121" t="s">
        <v>1446</v>
      </c>
      <c r="B121" t="s">
        <v>1447</v>
      </c>
      <c r="C121" s="710" t="s">
        <v>88</v>
      </c>
      <c r="D121" s="710" t="s">
        <v>112</v>
      </c>
      <c r="E121" s="710"/>
      <c r="F121" s="30"/>
      <c r="I121" s="490" t="str">
        <f>Print_Mois!C43</f>
        <v>Salaires commis</v>
      </c>
    </row>
    <row r="122" spans="1:27" ht="15" customHeight="1">
      <c r="A122" t="s">
        <v>1448</v>
      </c>
      <c r="B122" t="s">
        <v>1449</v>
      </c>
      <c r="C122" s="710" t="s">
        <v>148</v>
      </c>
      <c r="D122" s="710" t="s">
        <v>112</v>
      </c>
      <c r="E122" s="710"/>
      <c r="F122" s="30"/>
      <c r="I122" s="490" t="str">
        <f>Print_Mois!V509</f>
        <v>Salaires commis</v>
      </c>
    </row>
    <row r="123" spans="1:27" ht="15" customHeight="1">
      <c r="A123" t="s">
        <v>1450</v>
      </c>
      <c r="B123" t="s">
        <v>1451</v>
      </c>
      <c r="C123" s="710" t="s">
        <v>157</v>
      </c>
      <c r="D123" s="710" t="s">
        <v>125</v>
      </c>
      <c r="E123" s="710"/>
      <c r="F123" s="30"/>
      <c r="I123" s="490" t="str">
        <f>Print_Mois!V515</f>
        <v>Salaires en absences</v>
      </c>
    </row>
    <row r="124" spans="1:27" ht="15" customHeight="1">
      <c r="A124" t="s">
        <v>1452</v>
      </c>
      <c r="B124" t="s">
        <v>1453</v>
      </c>
      <c r="C124" s="710" t="s">
        <v>172</v>
      </c>
      <c r="D124" s="710" t="s">
        <v>125</v>
      </c>
      <c r="E124" s="710"/>
      <c r="F124" s="30"/>
      <c r="I124" s="490" t="str">
        <f>Print_Mois!V507</f>
        <v>Salaires propriétaire</v>
      </c>
    </row>
    <row r="125" spans="1:27" ht="15" customHeight="1">
      <c r="A125" t="s">
        <v>1454</v>
      </c>
      <c r="B125" s="706" t="s">
        <v>1455</v>
      </c>
      <c r="C125" s="710" t="s">
        <v>176</v>
      </c>
      <c r="D125" s="710" t="s">
        <v>125</v>
      </c>
      <c r="E125" s="710"/>
      <c r="F125" s="30"/>
      <c r="I125" s="490" t="str">
        <f>Print_Mois!V511</f>
        <v>Salaires spécialistes</v>
      </c>
    </row>
    <row r="126" spans="1:27" ht="15" customHeight="1">
      <c r="A126" t="s">
        <v>1456</v>
      </c>
      <c r="B126" t="s">
        <v>1457</v>
      </c>
      <c r="C126" s="710" t="s">
        <v>157</v>
      </c>
      <c r="D126" s="710" t="s">
        <v>126</v>
      </c>
      <c r="E126" s="710"/>
      <c r="F126" s="30"/>
      <c r="I126" s="490" t="str">
        <f>Print_Mois!C34</f>
        <v>Service gratuit 1</v>
      </c>
    </row>
    <row r="127" spans="1:27" ht="15" customHeight="1">
      <c r="A127" t="s">
        <v>1458</v>
      </c>
      <c r="B127" t="s">
        <v>1459</v>
      </c>
      <c r="C127" s="710" t="s">
        <v>172</v>
      </c>
      <c r="D127" s="710" t="s">
        <v>126</v>
      </c>
      <c r="E127" s="710"/>
      <c r="F127" s="30"/>
      <c r="I127" s="490" t="str">
        <f>Print_Mois!V522</f>
        <v>Service gratuit 2</v>
      </c>
    </row>
    <row r="128" spans="1:27" ht="15" customHeight="1">
      <c r="A128" t="s">
        <v>1460</v>
      </c>
      <c r="B128" t="s">
        <v>1461</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1464</v>
      </c>
      <c r="B129" t="s">
        <v>1465</v>
      </c>
      <c r="C129" s="710" t="s">
        <v>88</v>
      </c>
      <c r="D129" s="710" t="s">
        <v>128</v>
      </c>
      <c r="E129" s="710"/>
      <c r="F129" s="30"/>
      <c r="I129" s="490" t="str">
        <f>Print_Mois!C262</f>
        <v>Sous-traitement</v>
      </c>
    </row>
    <row r="130" spans="1:9" ht="15" customHeight="1">
      <c r="A130" t="s">
        <v>1466</v>
      </c>
      <c r="B130" t="s">
        <v>1467</v>
      </c>
      <c r="C130" s="710" t="s">
        <v>148</v>
      </c>
      <c r="D130" s="710" t="s">
        <v>128</v>
      </c>
      <c r="E130" s="710"/>
      <c r="F130" s="30"/>
      <c r="I130" s="490" t="s">
        <v>125</v>
      </c>
    </row>
    <row r="131" spans="1:9" ht="15" customHeight="1">
      <c r="A131" t="s">
        <v>1468</v>
      </c>
      <c r="B131" t="s">
        <v>1469</v>
      </c>
      <c r="C131" s="710" t="s">
        <v>1163</v>
      </c>
      <c r="D131" s="710" t="s">
        <v>128</v>
      </c>
      <c r="E131" s="710"/>
      <c r="F131" s="30"/>
      <c r="I131" s="490" t="s">
        <v>95</v>
      </c>
    </row>
    <row r="132" spans="1:9" ht="15" customHeight="1">
      <c r="A132" t="s">
        <v>1470</v>
      </c>
      <c r="B132" t="s">
        <v>1471</v>
      </c>
      <c r="C132" s="710" t="s">
        <v>157</v>
      </c>
      <c r="D132" s="710" t="s">
        <v>128</v>
      </c>
      <c r="E132" s="710"/>
      <c r="F132" s="30"/>
      <c r="I132" s="490" t="s">
        <v>202</v>
      </c>
    </row>
    <row r="133" spans="1:9" ht="15" customHeight="1">
      <c r="A133" t="s">
        <v>1472</v>
      </c>
      <c r="B133" t="s">
        <v>1473</v>
      </c>
      <c r="C133" s="710" t="s">
        <v>172</v>
      </c>
      <c r="D133" s="710" t="s">
        <v>128</v>
      </c>
      <c r="E133" s="710"/>
      <c r="F133" s="30"/>
      <c r="I133" s="490" t="s">
        <v>203</v>
      </c>
    </row>
    <row r="134" spans="1:9" ht="15" customHeight="1">
      <c r="A134" t="s">
        <v>1474</v>
      </c>
      <c r="B134" t="s">
        <v>1475</v>
      </c>
      <c r="C134" s="710" t="s">
        <v>176</v>
      </c>
      <c r="D134" s="710" t="s">
        <v>128</v>
      </c>
      <c r="E134" s="710"/>
      <c r="F134" s="30"/>
      <c r="I134" s="490" t="str">
        <f>Print_Mois!V543</f>
        <v>Taxe sur le capital</v>
      </c>
    </row>
    <row r="135" spans="1:9" ht="15" customHeight="1">
      <c r="A135" t="s">
        <v>1476</v>
      </c>
      <c r="B135" s="706" t="s">
        <v>1477</v>
      </c>
      <c r="C135" s="710" t="s">
        <v>1162</v>
      </c>
      <c r="D135" s="710" t="s">
        <v>128</v>
      </c>
      <c r="E135" s="710"/>
      <c r="F135" s="30"/>
      <c r="I135" s="490" t="s">
        <v>31</v>
      </c>
    </row>
    <row r="136" spans="1:9" ht="15" customHeight="1">
      <c r="A136" t="s">
        <v>1482</v>
      </c>
      <c r="B136" t="s">
        <v>1483</v>
      </c>
      <c r="C136" s="710" t="s">
        <v>88</v>
      </c>
      <c r="D136" s="710" t="s">
        <v>130</v>
      </c>
      <c r="E136" s="710"/>
      <c r="F136" s="30"/>
      <c r="I136" s="490" t="s">
        <v>132</v>
      </c>
    </row>
    <row r="137" spans="1:9" ht="15" customHeight="1">
      <c r="A137" t="s">
        <v>1484</v>
      </c>
      <c r="B137" t="s">
        <v>1485</v>
      </c>
      <c r="C137" s="710" t="s">
        <v>148</v>
      </c>
      <c r="D137" s="710" t="s">
        <v>130</v>
      </c>
      <c r="E137" s="710"/>
      <c r="F137" s="30"/>
      <c r="I137" s="490" t="str">
        <f>Print_Mois!C101</f>
        <v>Ventes au Gros</v>
      </c>
    </row>
    <row r="138" spans="1:9" ht="15" customHeight="1">
      <c r="A138" t="s">
        <v>1486</v>
      </c>
      <c r="B138" t="s">
        <v>1487</v>
      </c>
      <c r="C138" s="710" t="s">
        <v>1163</v>
      </c>
      <c r="D138" s="710" t="s">
        <v>130</v>
      </c>
      <c r="E138" s="710"/>
      <c r="F138" s="30"/>
      <c r="I138" s="490"/>
    </row>
    <row r="139" spans="1:9" ht="15" customHeight="1">
      <c r="A139" t="s">
        <v>1488</v>
      </c>
      <c r="B139" t="s">
        <v>1489</v>
      </c>
      <c r="C139" s="710" t="s">
        <v>157</v>
      </c>
      <c r="D139" s="710" t="s">
        <v>130</v>
      </c>
      <c r="E139" s="710"/>
      <c r="F139" s="30"/>
      <c r="I139" s="490" t="str">
        <f>Print_Mois!C376</f>
        <v>Ventes de Gros</v>
      </c>
    </row>
    <row r="140" spans="1:9" ht="15" customHeight="1">
      <c r="A140" t="s">
        <v>1490</v>
      </c>
      <c r="B140" t="s">
        <v>1491</v>
      </c>
      <c r="C140" s="710" t="s">
        <v>172</v>
      </c>
      <c r="D140" s="710" t="s">
        <v>130</v>
      </c>
      <c r="E140" s="710"/>
      <c r="F140" s="30"/>
      <c r="I140" s="490" t="s">
        <v>182</v>
      </c>
    </row>
    <row r="141" spans="1:9" ht="15" customHeight="1">
      <c r="A141" t="s">
        <v>1492</v>
      </c>
      <c r="B141" t="s">
        <v>1493</v>
      </c>
      <c r="C141" s="710" t="s">
        <v>176</v>
      </c>
      <c r="D141" s="710" t="s">
        <v>130</v>
      </c>
      <c r="E141" s="710"/>
      <c r="F141" s="30"/>
      <c r="I141" s="490" t="str">
        <f>Print_Mois!C374</f>
        <v>Ventes Internes</v>
      </c>
    </row>
    <row r="142" spans="1:9" ht="15" customHeight="1">
      <c r="A142" t="s">
        <v>1494</v>
      </c>
      <c r="B142" t="s">
        <v>1495</v>
      </c>
      <c r="C142" s="710" t="s">
        <v>1162</v>
      </c>
      <c r="D142" s="710" t="s">
        <v>130</v>
      </c>
      <c r="E142" s="710"/>
      <c r="F142" s="30"/>
      <c r="I142" s="490"/>
    </row>
    <row r="143" spans="1:9" ht="15" customHeight="1">
      <c r="A143" s="937" t="s">
        <v>1500</v>
      </c>
      <c r="B143" s="937" t="s">
        <v>1501</v>
      </c>
      <c r="C143" s="940" t="s">
        <v>88</v>
      </c>
      <c r="D143" s="940" t="s">
        <v>129</v>
      </c>
      <c r="E143" s="940"/>
      <c r="F143" s="30"/>
      <c r="I143" s="490"/>
    </row>
    <row r="144" spans="1:9" ht="15" customHeight="1">
      <c r="A144" t="s">
        <v>1502</v>
      </c>
      <c r="B144" t="s">
        <v>1503</v>
      </c>
      <c r="C144" s="710" t="s">
        <v>88</v>
      </c>
      <c r="D144" s="710" t="s">
        <v>129</v>
      </c>
      <c r="E144" s="710"/>
      <c r="F144" s="30"/>
    </row>
    <row r="145" spans="1:9" ht="15" customHeight="1">
      <c r="A145" t="s">
        <v>1504</v>
      </c>
      <c r="B145" t="s">
        <v>1505</v>
      </c>
      <c r="C145" s="710" t="s">
        <v>88</v>
      </c>
      <c r="D145" s="710" t="s">
        <v>129</v>
      </c>
      <c r="E145" s="710"/>
      <c r="F145" s="30"/>
    </row>
    <row r="146" spans="1:9" ht="15" customHeight="1">
      <c r="A146" t="s">
        <v>1506</v>
      </c>
      <c r="B146" t="s">
        <v>1507</v>
      </c>
      <c r="C146" s="710" t="s">
        <v>148</v>
      </c>
      <c r="D146" s="710" t="s">
        <v>129</v>
      </c>
      <c r="E146" s="710"/>
      <c r="F146" s="30"/>
    </row>
    <row r="147" spans="1:9" ht="15" customHeight="1">
      <c r="A147" t="s">
        <v>1508</v>
      </c>
      <c r="B147" t="s">
        <v>1509</v>
      </c>
      <c r="C147" s="710" t="s">
        <v>148</v>
      </c>
      <c r="D147" s="710" t="s">
        <v>129</v>
      </c>
      <c r="E147" s="710"/>
      <c r="F147" s="30"/>
    </row>
    <row r="148" spans="1:9" ht="15" customHeight="1">
      <c r="A148" t="s">
        <v>1510</v>
      </c>
      <c r="B148" t="s">
        <v>1511</v>
      </c>
      <c r="C148" s="710" t="s">
        <v>1163</v>
      </c>
      <c r="D148" s="710" t="s">
        <v>129</v>
      </c>
      <c r="E148" s="710"/>
      <c r="F148" s="3"/>
    </row>
    <row r="149" spans="1:9" ht="15" customHeight="1">
      <c r="A149" t="s">
        <v>1512</v>
      </c>
      <c r="B149" t="s">
        <v>1513</v>
      </c>
      <c r="C149" s="710" t="s">
        <v>1163</v>
      </c>
      <c r="D149" s="710" t="s">
        <v>129</v>
      </c>
      <c r="E149" s="710"/>
      <c r="F149" s="3"/>
    </row>
    <row r="150" spans="1:9" ht="15" customHeight="1">
      <c r="A150" t="s">
        <v>1514</v>
      </c>
      <c r="B150" t="s">
        <v>1515</v>
      </c>
      <c r="C150" s="710" t="s">
        <v>157</v>
      </c>
      <c r="D150" s="710" t="s">
        <v>129</v>
      </c>
      <c r="E150" s="710"/>
      <c r="F150" s="3"/>
    </row>
    <row r="151" spans="1:9" ht="15" customHeight="1">
      <c r="A151" t="s">
        <v>1516</v>
      </c>
      <c r="B151" t="s">
        <v>1517</v>
      </c>
      <c r="C151" s="710" t="s">
        <v>157</v>
      </c>
      <c r="D151" s="710" t="s">
        <v>129</v>
      </c>
      <c r="E151" s="710"/>
      <c r="F151" s="3"/>
    </row>
    <row r="152" spans="1:9" ht="15" customHeight="1">
      <c r="A152" t="s">
        <v>1518</v>
      </c>
      <c r="B152" t="s">
        <v>1519</v>
      </c>
      <c r="C152" s="710" t="s">
        <v>172</v>
      </c>
      <c r="D152" s="710" t="s">
        <v>129</v>
      </c>
      <c r="E152" s="710"/>
      <c r="F152" s="3"/>
    </row>
    <row r="153" spans="1:9" ht="15" customHeight="1">
      <c r="A153" t="s">
        <v>1520</v>
      </c>
      <c r="B153" t="s">
        <v>1521</v>
      </c>
      <c r="C153" s="710" t="s">
        <v>172</v>
      </c>
      <c r="D153" s="710" t="s">
        <v>129</v>
      </c>
      <c r="E153" s="710"/>
      <c r="F153" s="3"/>
    </row>
    <row r="154" spans="1:9" ht="15" customHeight="1">
      <c r="A154" t="s">
        <v>1522</v>
      </c>
      <c r="B154" t="s">
        <v>1523</v>
      </c>
      <c r="C154" s="710" t="s">
        <v>176</v>
      </c>
      <c r="D154" s="710" t="s">
        <v>129</v>
      </c>
      <c r="E154" s="710"/>
      <c r="F154" s="3"/>
    </row>
    <row r="155" spans="1:9" ht="15" customHeight="1">
      <c r="A155" t="s">
        <v>1524</v>
      </c>
      <c r="B155" t="s">
        <v>1525</v>
      </c>
      <c r="C155" s="710" t="s">
        <v>176</v>
      </c>
      <c r="D155" s="710" t="s">
        <v>129</v>
      </c>
      <c r="E155" s="710"/>
      <c r="F155" s="3"/>
    </row>
    <row r="156" spans="1:9" ht="15" customHeight="1">
      <c r="A156" t="s">
        <v>1528</v>
      </c>
      <c r="B156" t="s">
        <v>1529</v>
      </c>
      <c r="C156" s="710" t="s">
        <v>88</v>
      </c>
      <c r="D156" s="710" t="s">
        <v>136</v>
      </c>
      <c r="E156" s="710"/>
      <c r="F156" s="3"/>
    </row>
    <row r="157" spans="1:9" ht="15" customHeight="1">
      <c r="A157" t="s">
        <v>1530</v>
      </c>
      <c r="B157" t="s">
        <v>1531</v>
      </c>
      <c r="C157" s="710" t="s">
        <v>148</v>
      </c>
      <c r="D157" s="710" t="s">
        <v>136</v>
      </c>
      <c r="E157" s="710"/>
      <c r="F157" s="3"/>
    </row>
    <row r="158" spans="1:9" ht="15" customHeight="1">
      <c r="A158" t="s">
        <v>1532</v>
      </c>
      <c r="B158" t="s">
        <v>1533</v>
      </c>
      <c r="C158" s="710" t="s">
        <v>157</v>
      </c>
      <c r="D158" s="710" t="s">
        <v>136</v>
      </c>
      <c r="E158" s="710"/>
      <c r="F158" s="3"/>
    </row>
    <row r="159" spans="1:9" ht="15" customHeight="1">
      <c r="A159" t="s">
        <v>1534</v>
      </c>
      <c r="B159" t="s">
        <v>1535</v>
      </c>
      <c r="C159" s="710" t="s">
        <v>172</v>
      </c>
      <c r="D159" s="710" t="s">
        <v>136</v>
      </c>
      <c r="E159" s="710"/>
      <c r="F159" s="3"/>
    </row>
    <row r="160" spans="1:9" ht="15" customHeight="1">
      <c r="A160" t="s">
        <v>1538</v>
      </c>
      <c r="B160" t="s">
        <v>1539</v>
      </c>
      <c r="C160" s="710" t="s">
        <v>176</v>
      </c>
      <c r="D160" s="710" t="s">
        <v>136</v>
      </c>
      <c r="E160" s="710"/>
      <c r="F160" s="3"/>
      <c r="I160" s="3"/>
    </row>
    <row r="161" spans="1:6" ht="15" customHeight="1">
      <c r="A161" t="s">
        <v>1542</v>
      </c>
      <c r="B161" t="s">
        <v>1543</v>
      </c>
      <c r="C161" s="710" t="s">
        <v>88</v>
      </c>
      <c r="D161" s="710" t="s">
        <v>207</v>
      </c>
      <c r="E161" s="710"/>
      <c r="F161" s="3"/>
    </row>
    <row r="162" spans="1:6" ht="15" customHeight="1">
      <c r="A162" t="s">
        <v>1544</v>
      </c>
      <c r="B162" t="s">
        <v>1545</v>
      </c>
      <c r="C162" s="710" t="s">
        <v>148</v>
      </c>
      <c r="D162" s="710" t="s">
        <v>207</v>
      </c>
      <c r="E162" s="710"/>
      <c r="F162" s="3"/>
    </row>
    <row r="163" spans="1:6" ht="15" customHeight="1">
      <c r="A163" t="s">
        <v>1546</v>
      </c>
      <c r="B163" t="s">
        <v>1547</v>
      </c>
      <c r="C163" s="710" t="s">
        <v>1163</v>
      </c>
      <c r="D163" s="710" t="s">
        <v>207</v>
      </c>
      <c r="E163" s="710"/>
      <c r="F163" s="3"/>
    </row>
    <row r="164" spans="1:6" ht="15" customHeight="1">
      <c r="A164" t="s">
        <v>1548</v>
      </c>
      <c r="B164" t="s">
        <v>1549</v>
      </c>
      <c r="C164" s="710" t="s">
        <v>157</v>
      </c>
      <c r="D164" s="710" t="s">
        <v>207</v>
      </c>
      <c r="E164" s="710"/>
      <c r="F164" s="3"/>
    </row>
    <row r="165" spans="1:6" ht="15" customHeight="1">
      <c r="A165" t="s">
        <v>1550</v>
      </c>
      <c r="B165" t="s">
        <v>1551</v>
      </c>
      <c r="C165" s="710" t="s">
        <v>172</v>
      </c>
      <c r="D165" s="710" t="s">
        <v>207</v>
      </c>
      <c r="E165" s="710"/>
      <c r="F165" s="3"/>
    </row>
    <row r="166" spans="1:6" ht="15" customHeight="1">
      <c r="A166" t="s">
        <v>1552</v>
      </c>
      <c r="B166" t="s">
        <v>1553</v>
      </c>
      <c r="C166" s="710" t="s">
        <v>176</v>
      </c>
      <c r="D166" s="710" t="s">
        <v>207</v>
      </c>
      <c r="E166" s="710"/>
      <c r="F166" s="3"/>
    </row>
    <row r="167" spans="1:6" ht="15" customHeight="1">
      <c r="A167" t="s">
        <v>1556</v>
      </c>
      <c r="B167" t="s">
        <v>1557</v>
      </c>
      <c r="C167" s="710" t="s">
        <v>88</v>
      </c>
      <c r="D167" s="710" t="s">
        <v>134</v>
      </c>
      <c r="E167" s="710"/>
      <c r="F167" s="3"/>
    </row>
    <row r="168" spans="1:6" ht="15" customHeight="1">
      <c r="A168" t="s">
        <v>1558</v>
      </c>
      <c r="B168" t="s">
        <v>1559</v>
      </c>
      <c r="C168" s="710" t="s">
        <v>148</v>
      </c>
      <c r="D168" s="710" t="s">
        <v>134</v>
      </c>
      <c r="E168" s="710"/>
      <c r="F168" s="3"/>
    </row>
    <row r="169" spans="1:6" ht="15" customHeight="1">
      <c r="A169" t="s">
        <v>1560</v>
      </c>
      <c r="B169" t="s">
        <v>1561</v>
      </c>
      <c r="C169" s="710" t="s">
        <v>1163</v>
      </c>
      <c r="D169" s="710" t="s">
        <v>134</v>
      </c>
      <c r="E169" s="710"/>
      <c r="F169" s="3"/>
    </row>
    <row r="170" spans="1:6" ht="15" customHeight="1">
      <c r="A170" t="s">
        <v>1562</v>
      </c>
      <c r="B170" t="s">
        <v>1563</v>
      </c>
      <c r="C170" s="710" t="s">
        <v>157</v>
      </c>
      <c r="D170" s="710" t="s">
        <v>134</v>
      </c>
      <c r="E170" s="710"/>
      <c r="F170" s="3"/>
    </row>
    <row r="171" spans="1:6" ht="15" customHeight="1">
      <c r="A171" t="s">
        <v>1564</v>
      </c>
      <c r="B171" t="s">
        <v>1565</v>
      </c>
      <c r="C171" s="710" t="s">
        <v>172</v>
      </c>
      <c r="D171" s="710" t="s">
        <v>134</v>
      </c>
      <c r="E171" s="710"/>
      <c r="F171" s="3"/>
    </row>
    <row r="172" spans="1:6" ht="15" customHeight="1">
      <c r="A172" t="s">
        <v>1566</v>
      </c>
      <c r="B172" t="s">
        <v>1567</v>
      </c>
      <c r="C172" s="710" t="s">
        <v>176</v>
      </c>
      <c r="D172" s="710" t="s">
        <v>134</v>
      </c>
      <c r="E172" s="710"/>
      <c r="F172" s="3"/>
    </row>
    <row r="173" spans="1:6" ht="15" customHeight="1">
      <c r="A173" t="s">
        <v>1570</v>
      </c>
      <c r="B173" t="s">
        <v>1571</v>
      </c>
      <c r="C173" s="710" t="s">
        <v>88</v>
      </c>
      <c r="D173" s="710" t="s">
        <v>137</v>
      </c>
      <c r="E173" s="710"/>
      <c r="F173" s="3"/>
    </row>
    <row r="174" spans="1:6" ht="15" customHeight="1">
      <c r="A174" t="s">
        <v>1572</v>
      </c>
      <c r="B174" t="s">
        <v>1573</v>
      </c>
      <c r="C174" s="710" t="s">
        <v>148</v>
      </c>
      <c r="D174" s="710" t="s">
        <v>137</v>
      </c>
      <c r="E174" s="710"/>
      <c r="F174" s="3"/>
    </row>
    <row r="175" spans="1:6" ht="15" customHeight="1">
      <c r="A175" t="s">
        <v>1574</v>
      </c>
      <c r="B175" t="s">
        <v>1575</v>
      </c>
      <c r="C175" s="710" t="s">
        <v>1163</v>
      </c>
      <c r="D175" s="710" t="s">
        <v>137</v>
      </c>
      <c r="E175" s="710"/>
      <c r="F175" s="3"/>
    </row>
    <row r="176" spans="1:6" ht="15" customHeight="1">
      <c r="A176" t="s">
        <v>1576</v>
      </c>
      <c r="B176" t="s">
        <v>1577</v>
      </c>
      <c r="C176" s="710" t="s">
        <v>157</v>
      </c>
      <c r="D176" s="710" t="s">
        <v>137</v>
      </c>
      <c r="E176" s="710"/>
      <c r="F176" s="3"/>
    </row>
    <row r="177" spans="1:6" ht="15" customHeight="1">
      <c r="A177" t="s">
        <v>1578</v>
      </c>
      <c r="B177" t="s">
        <v>1579</v>
      </c>
      <c r="C177" s="710" t="s">
        <v>172</v>
      </c>
      <c r="D177" s="710" t="s">
        <v>137</v>
      </c>
      <c r="E177" s="710"/>
      <c r="F177" s="3"/>
    </row>
    <row r="178" spans="1:6" ht="15" customHeight="1">
      <c r="A178" t="s">
        <v>1580</v>
      </c>
      <c r="B178" t="s">
        <v>1581</v>
      </c>
      <c r="C178" s="710" t="s">
        <v>176</v>
      </c>
      <c r="D178" s="710" t="s">
        <v>137</v>
      </c>
      <c r="E178" s="710"/>
      <c r="F178" s="3"/>
    </row>
    <row r="179" spans="1:6" ht="15" customHeight="1">
      <c r="A179" t="s">
        <v>1584</v>
      </c>
      <c r="B179" t="s">
        <v>1585</v>
      </c>
      <c r="C179" s="710" t="s">
        <v>88</v>
      </c>
      <c r="D179" s="710" t="s">
        <v>113</v>
      </c>
      <c r="E179" s="710"/>
      <c r="F179" s="3"/>
    </row>
    <row r="180" spans="1:6" ht="15" customHeight="1">
      <c r="A180" t="s">
        <v>1586</v>
      </c>
      <c r="B180" t="s">
        <v>1587</v>
      </c>
      <c r="C180" s="710" t="s">
        <v>148</v>
      </c>
      <c r="D180" s="710" t="s">
        <v>113</v>
      </c>
      <c r="E180" s="710"/>
      <c r="F180" s="3"/>
    </row>
    <row r="181" spans="1:6" ht="15" customHeight="1">
      <c r="A181" t="s">
        <v>1588</v>
      </c>
      <c r="B181" t="s">
        <v>1589</v>
      </c>
      <c r="C181" s="710" t="s">
        <v>1163</v>
      </c>
      <c r="D181" s="710" t="s">
        <v>113</v>
      </c>
      <c r="E181" s="710"/>
      <c r="F181" s="3"/>
    </row>
    <row r="182" spans="1:6" ht="15" customHeight="1">
      <c r="A182" s="937" t="s">
        <v>1590</v>
      </c>
      <c r="B182" s="937" t="s">
        <v>1591</v>
      </c>
      <c r="C182" s="940" t="s">
        <v>157</v>
      </c>
      <c r="D182" s="940" t="s">
        <v>136</v>
      </c>
      <c r="E182" s="940"/>
      <c r="F182" s="3" t="s">
        <v>3131</v>
      </c>
    </row>
    <row r="183" spans="1:6" ht="15" customHeight="1">
      <c r="A183" t="s">
        <v>1596</v>
      </c>
      <c r="B183" t="s">
        <v>1597</v>
      </c>
      <c r="C183" s="710" t="s">
        <v>88</v>
      </c>
      <c r="D183" s="710" t="s">
        <v>136</v>
      </c>
      <c r="E183" s="710"/>
      <c r="F183" s="3"/>
    </row>
    <row r="184" spans="1:6" ht="15" customHeight="1">
      <c r="A184" t="s">
        <v>1598</v>
      </c>
      <c r="B184" t="s">
        <v>1599</v>
      </c>
      <c r="C184" s="710" t="s">
        <v>148</v>
      </c>
      <c r="D184" s="710" t="s">
        <v>136</v>
      </c>
      <c r="E184" s="710"/>
      <c r="F184" s="3"/>
    </row>
    <row r="185" spans="1:6" ht="15" customHeight="1">
      <c r="A185" t="s">
        <v>1600</v>
      </c>
      <c r="B185" t="s">
        <v>1601</v>
      </c>
      <c r="C185" s="710" t="s">
        <v>1163</v>
      </c>
      <c r="D185" s="710" t="s">
        <v>136</v>
      </c>
      <c r="E185" s="710"/>
      <c r="F185" s="3"/>
    </row>
    <row r="186" spans="1:6" ht="15" customHeight="1">
      <c r="A186" t="s">
        <v>1602</v>
      </c>
      <c r="B186" t="s">
        <v>1603</v>
      </c>
      <c r="C186" s="710" t="s">
        <v>157</v>
      </c>
      <c r="D186" s="710" t="s">
        <v>136</v>
      </c>
      <c r="E186" s="710"/>
      <c r="F186" s="3"/>
    </row>
    <row r="187" spans="1:6" ht="15" customHeight="1">
      <c r="A187" t="s">
        <v>1604</v>
      </c>
      <c r="B187" t="s">
        <v>1605</v>
      </c>
      <c r="C187" s="710" t="s">
        <v>172</v>
      </c>
      <c r="D187" s="710" t="s">
        <v>1174</v>
      </c>
      <c r="E187" s="710"/>
      <c r="F187" s="3"/>
    </row>
    <row r="188" spans="1:6" ht="15" customHeight="1">
      <c r="A188" t="s">
        <v>1606</v>
      </c>
      <c r="B188" t="s">
        <v>1607</v>
      </c>
      <c r="C188" s="710" t="s">
        <v>176</v>
      </c>
      <c r="D188" s="710" t="s">
        <v>136</v>
      </c>
      <c r="E188" s="710"/>
      <c r="F188" s="3"/>
    </row>
    <row r="189" spans="1:6" ht="15" customHeight="1">
      <c r="A189" t="s">
        <v>1608</v>
      </c>
      <c r="B189" s="706" t="s">
        <v>3133</v>
      </c>
      <c r="C189" s="710" t="s">
        <v>1162</v>
      </c>
      <c r="D189" s="710" t="s">
        <v>136</v>
      </c>
      <c r="E189" s="710"/>
      <c r="F189" s="3"/>
    </row>
    <row r="190" spans="1:6" ht="15" customHeight="1">
      <c r="A190" s="937" t="s">
        <v>3132</v>
      </c>
      <c r="B190" s="937" t="s">
        <v>1609</v>
      </c>
      <c r="C190" s="940"/>
      <c r="D190" s="940"/>
      <c r="E190" s="940"/>
      <c r="F190" s="3"/>
    </row>
    <row r="191" spans="1:6" ht="15" customHeight="1">
      <c r="A191" t="s">
        <v>1613</v>
      </c>
      <c r="B191" t="s">
        <v>1614</v>
      </c>
      <c r="C191" s="710" t="s">
        <v>88</v>
      </c>
      <c r="D191" s="710" t="s">
        <v>3129</v>
      </c>
      <c r="E191" s="710"/>
      <c r="F191" s="3"/>
    </row>
    <row r="192" spans="1:6" ht="15" customHeight="1">
      <c r="A192" t="s">
        <v>1615</v>
      </c>
      <c r="B192" t="s">
        <v>1616</v>
      </c>
      <c r="C192" s="710" t="s">
        <v>148</v>
      </c>
      <c r="D192" s="710" t="s">
        <v>3129</v>
      </c>
      <c r="E192" s="710"/>
      <c r="F192" s="3"/>
    </row>
    <row r="193" spans="1:7" ht="15" customHeight="1">
      <c r="A193" t="s">
        <v>1617</v>
      </c>
      <c r="B193" t="s">
        <v>1618</v>
      </c>
      <c r="C193" s="710" t="s">
        <v>1163</v>
      </c>
      <c r="D193" s="710" t="s">
        <v>3129</v>
      </c>
      <c r="E193" s="710"/>
      <c r="F193" s="3"/>
    </row>
    <row r="194" spans="1:7" ht="15" customHeight="1">
      <c r="A194" s="937" t="s">
        <v>1621</v>
      </c>
      <c r="B194" s="937" t="s">
        <v>1622</v>
      </c>
      <c r="C194" s="940" t="s">
        <v>88</v>
      </c>
      <c r="D194" s="940" t="s">
        <v>136</v>
      </c>
      <c r="E194" s="940"/>
      <c r="F194" s="3"/>
    </row>
    <row r="195" spans="1:7" ht="15" customHeight="1">
      <c r="A195" s="937" t="s">
        <v>1623</v>
      </c>
      <c r="B195" s="937" t="s">
        <v>1624</v>
      </c>
      <c r="C195" s="940" t="s">
        <v>148</v>
      </c>
      <c r="D195" s="940" t="s">
        <v>136</v>
      </c>
      <c r="E195" s="940"/>
      <c r="F195" s="3"/>
    </row>
    <row r="196" spans="1:7" ht="15" customHeight="1">
      <c r="A196" s="937" t="s">
        <v>1625</v>
      </c>
      <c r="B196" s="937" t="s">
        <v>1626</v>
      </c>
      <c r="C196" s="940" t="s">
        <v>157</v>
      </c>
      <c r="D196" s="940" t="s">
        <v>136</v>
      </c>
      <c r="E196" s="940"/>
      <c r="F196" s="3"/>
    </row>
    <row r="197" spans="1:7" ht="15" customHeight="1">
      <c r="A197" s="937" t="s">
        <v>1627</v>
      </c>
      <c r="B197" s="937" t="s">
        <v>1626</v>
      </c>
      <c r="C197" s="940" t="s">
        <v>172</v>
      </c>
      <c r="D197" s="940" t="s">
        <v>136</v>
      </c>
      <c r="E197" s="940"/>
      <c r="F197" s="3"/>
    </row>
    <row r="198" spans="1:7" ht="15" customHeight="1">
      <c r="A198" s="937" t="s">
        <v>1628</v>
      </c>
      <c r="B198" s="937" t="s">
        <v>1629</v>
      </c>
      <c r="C198" s="940" t="s">
        <v>176</v>
      </c>
      <c r="D198" s="940" t="s">
        <v>136</v>
      </c>
      <c r="E198" s="940"/>
      <c r="F198" s="4"/>
    </row>
    <row r="199" spans="1:7" ht="15" customHeight="1">
      <c r="A199" t="s">
        <v>1632</v>
      </c>
      <c r="B199" t="s">
        <v>1633</v>
      </c>
      <c r="C199" s="710" t="s">
        <v>88</v>
      </c>
      <c r="D199" s="710" t="s">
        <v>201</v>
      </c>
      <c r="E199" s="901"/>
      <c r="F199" s="3"/>
    </row>
    <row r="200" spans="1:7" ht="15" customHeight="1">
      <c r="A200" t="s">
        <v>1634</v>
      </c>
      <c r="B200" t="s">
        <v>1635</v>
      </c>
      <c r="C200" s="710" t="s">
        <v>148</v>
      </c>
      <c r="D200" s="710" t="s">
        <v>201</v>
      </c>
      <c r="E200" s="901"/>
      <c r="F200" s="3"/>
    </row>
    <row r="201" spans="1:7" ht="15" customHeight="1">
      <c r="A201" t="s">
        <v>1636</v>
      </c>
      <c r="B201" t="s">
        <v>1637</v>
      </c>
      <c r="C201" s="710" t="s">
        <v>1163</v>
      </c>
      <c r="D201" s="710" t="s">
        <v>201</v>
      </c>
      <c r="E201" s="901"/>
      <c r="F201" s="3"/>
    </row>
    <row r="202" spans="1:7" ht="15" customHeight="1">
      <c r="A202" t="s">
        <v>1638</v>
      </c>
      <c r="B202" t="s">
        <v>1639</v>
      </c>
      <c r="C202" s="710" t="s">
        <v>157</v>
      </c>
      <c r="D202" s="710" t="s">
        <v>201</v>
      </c>
      <c r="E202" s="901"/>
      <c r="F202" s="3"/>
    </row>
    <row r="203" spans="1:7" ht="15" customHeight="1">
      <c r="A203" t="s">
        <v>1640</v>
      </c>
      <c r="B203" t="s">
        <v>1641</v>
      </c>
      <c r="C203" s="710" t="s">
        <v>172</v>
      </c>
      <c r="D203" s="710" t="s">
        <v>201</v>
      </c>
      <c r="E203" s="901"/>
      <c r="F203" s="3"/>
    </row>
    <row r="204" spans="1:7" ht="15" customHeight="1">
      <c r="A204" t="s">
        <v>1642</v>
      </c>
      <c r="B204" t="s">
        <v>1643</v>
      </c>
      <c r="C204" s="710" t="s">
        <v>176</v>
      </c>
      <c r="D204" s="710" t="s">
        <v>201</v>
      </c>
      <c r="E204" s="901"/>
      <c r="F204" s="3"/>
    </row>
    <row r="205" spans="1:7" ht="15" customHeight="1">
      <c r="A205" t="s">
        <v>1646</v>
      </c>
      <c r="B205" t="s">
        <v>1647</v>
      </c>
      <c r="C205" s="710" t="s">
        <v>88</v>
      </c>
      <c r="D205" s="710" t="s">
        <v>201</v>
      </c>
      <c r="E205" s="901"/>
      <c r="F205" s="3"/>
      <c r="G205" s="756" t="s">
        <v>1081</v>
      </c>
    </row>
    <row r="206" spans="1:7" ht="15" customHeight="1">
      <c r="A206" t="s">
        <v>1648</v>
      </c>
      <c r="B206" t="s">
        <v>1649</v>
      </c>
      <c r="C206" s="710" t="s">
        <v>148</v>
      </c>
      <c r="D206" s="710" t="s">
        <v>201</v>
      </c>
      <c r="E206" s="901"/>
      <c r="F206" s="3"/>
    </row>
    <row r="207" spans="1:7" ht="15" customHeight="1">
      <c r="A207" t="s">
        <v>1650</v>
      </c>
      <c r="B207" t="s">
        <v>1651</v>
      </c>
      <c r="C207" s="710" t="s">
        <v>1163</v>
      </c>
      <c r="D207" s="710" t="s">
        <v>201</v>
      </c>
      <c r="E207" s="901"/>
      <c r="F207" s="3"/>
    </row>
    <row r="208" spans="1:7" ht="15" customHeight="1">
      <c r="A208" t="s">
        <v>1652</v>
      </c>
      <c r="B208" t="s">
        <v>1653</v>
      </c>
      <c r="C208" s="710" t="s">
        <v>157</v>
      </c>
      <c r="D208" s="710" t="s">
        <v>201</v>
      </c>
      <c r="E208" s="901"/>
      <c r="F208" s="3"/>
    </row>
    <row r="209" spans="1:6" ht="15" customHeight="1">
      <c r="A209" t="s">
        <v>1654</v>
      </c>
      <c r="B209" t="s">
        <v>1655</v>
      </c>
      <c r="C209" s="710" t="s">
        <v>172</v>
      </c>
      <c r="D209" s="710" t="s">
        <v>201</v>
      </c>
      <c r="E209" s="901"/>
      <c r="F209" s="3"/>
    </row>
    <row r="210" spans="1:6" ht="15" customHeight="1">
      <c r="A210" t="s">
        <v>1656</v>
      </c>
      <c r="B210" t="s">
        <v>1657</v>
      </c>
      <c r="C210" s="710" t="s">
        <v>176</v>
      </c>
      <c r="D210" s="710" t="s">
        <v>201</v>
      </c>
      <c r="E210" s="901"/>
      <c r="F210" s="3"/>
    </row>
    <row r="211" spans="1:6" ht="15" customHeight="1">
      <c r="A211" t="s">
        <v>1660</v>
      </c>
      <c r="B211" t="s">
        <v>1661</v>
      </c>
      <c r="C211" s="710" t="s">
        <v>88</v>
      </c>
      <c r="D211" s="710" t="s">
        <v>130</v>
      </c>
      <c r="E211" s="901"/>
      <c r="F211" s="3"/>
    </row>
    <row r="212" spans="1:6" ht="15" customHeight="1">
      <c r="A212" t="s">
        <v>1662</v>
      </c>
      <c r="B212" t="s">
        <v>1663</v>
      </c>
      <c r="C212" s="710" t="s">
        <v>148</v>
      </c>
      <c r="D212" s="710" t="s">
        <v>130</v>
      </c>
      <c r="E212" s="901"/>
      <c r="F212" s="4"/>
    </row>
    <row r="213" spans="1:6" ht="15" customHeight="1">
      <c r="A213" t="s">
        <v>1664</v>
      </c>
      <c r="B213" t="s">
        <v>1665</v>
      </c>
      <c r="C213" s="710" t="s">
        <v>1163</v>
      </c>
      <c r="D213" s="710" t="s">
        <v>130</v>
      </c>
      <c r="E213" s="901"/>
      <c r="F213" s="3"/>
    </row>
    <row r="214" spans="1:6" ht="15" customHeight="1">
      <c r="A214" t="s">
        <v>1666</v>
      </c>
      <c r="B214" t="s">
        <v>1667</v>
      </c>
      <c r="C214" s="710" t="s">
        <v>157</v>
      </c>
      <c r="D214" s="710" t="s">
        <v>130</v>
      </c>
      <c r="E214" s="901"/>
      <c r="F214" s="3"/>
    </row>
    <row r="215" spans="1:6" ht="15" customHeight="1">
      <c r="A215" t="s">
        <v>1668</v>
      </c>
      <c r="B215" t="s">
        <v>1669</v>
      </c>
      <c r="C215" s="710" t="s">
        <v>172</v>
      </c>
      <c r="D215" s="710" t="s">
        <v>130</v>
      </c>
      <c r="E215" s="901"/>
      <c r="F215" s="3"/>
    </row>
    <row r="216" spans="1:6" ht="15" customHeight="1">
      <c r="A216" t="s">
        <v>1670</v>
      </c>
      <c r="B216" t="s">
        <v>1671</v>
      </c>
      <c r="C216" s="710" t="s">
        <v>176</v>
      </c>
      <c r="D216" s="710" t="s">
        <v>130</v>
      </c>
      <c r="E216" s="901"/>
      <c r="F216" s="3"/>
    </row>
    <row r="217" spans="1:6" ht="15" customHeight="1">
      <c r="A217" t="s">
        <v>1674</v>
      </c>
      <c r="B217" t="s">
        <v>1675</v>
      </c>
      <c r="C217" s="710" t="s">
        <v>88</v>
      </c>
      <c r="D217" s="710" t="s">
        <v>217</v>
      </c>
      <c r="E217" s="901"/>
      <c r="F217" s="3"/>
    </row>
    <row r="218" spans="1:6" ht="15" customHeight="1">
      <c r="A218" t="s">
        <v>1676</v>
      </c>
      <c r="B218" t="s">
        <v>1677</v>
      </c>
      <c r="C218" s="710" t="s">
        <v>148</v>
      </c>
      <c r="D218" s="710" t="s">
        <v>217</v>
      </c>
      <c r="E218" s="901"/>
      <c r="F218" s="3"/>
    </row>
    <row r="219" spans="1:6" ht="15" customHeight="1">
      <c r="A219" t="s">
        <v>1678</v>
      </c>
      <c r="B219" t="s">
        <v>1679</v>
      </c>
      <c r="C219" s="710" t="s">
        <v>157</v>
      </c>
      <c r="D219" s="710" t="s">
        <v>217</v>
      </c>
      <c r="E219" s="901"/>
      <c r="F219" s="3"/>
    </row>
    <row r="220" spans="1:6" ht="15" customHeight="1">
      <c r="A220" t="s">
        <v>1680</v>
      </c>
      <c r="B220" t="s">
        <v>1681</v>
      </c>
      <c r="C220" s="710" t="s">
        <v>172</v>
      </c>
      <c r="D220" s="710" t="s">
        <v>217</v>
      </c>
      <c r="E220" s="901"/>
      <c r="F220" s="3"/>
    </row>
    <row r="221" spans="1:6" ht="15" customHeight="1">
      <c r="A221" t="s">
        <v>1682</v>
      </c>
      <c r="B221" t="s">
        <v>1683</v>
      </c>
      <c r="C221" s="710" t="s">
        <v>176</v>
      </c>
      <c r="D221" s="710" t="s">
        <v>217</v>
      </c>
      <c r="E221" s="901"/>
      <c r="F221" s="3"/>
    </row>
    <row r="222" spans="1:6" ht="15" customHeight="1">
      <c r="A222" t="s">
        <v>1686</v>
      </c>
      <c r="B222" t="s">
        <v>1687</v>
      </c>
      <c r="C222" s="710" t="s">
        <v>88</v>
      </c>
      <c r="D222" s="710" t="s">
        <v>202</v>
      </c>
      <c r="E222" s="901"/>
      <c r="F222" s="3"/>
    </row>
    <row r="223" spans="1:6" ht="15" customHeight="1">
      <c r="A223" t="s">
        <v>1688</v>
      </c>
      <c r="B223" t="s">
        <v>1689</v>
      </c>
      <c r="C223" s="710" t="s">
        <v>148</v>
      </c>
      <c r="D223" s="710" t="s">
        <v>202</v>
      </c>
      <c r="E223" s="901"/>
      <c r="F223" s="3"/>
    </row>
    <row r="224" spans="1:6" ht="15" customHeight="1">
      <c r="A224" t="s">
        <v>1690</v>
      </c>
      <c r="B224" t="s">
        <v>1691</v>
      </c>
      <c r="C224" s="710" t="s">
        <v>157</v>
      </c>
      <c r="D224" s="710" t="s">
        <v>202</v>
      </c>
      <c r="E224" s="901"/>
      <c r="F224" s="3"/>
    </row>
    <row r="225" spans="1:6" ht="15" customHeight="1">
      <c r="A225" t="s">
        <v>1692</v>
      </c>
      <c r="B225" t="s">
        <v>1693</v>
      </c>
      <c r="C225" s="710" t="s">
        <v>172</v>
      </c>
      <c r="D225" s="710" t="s">
        <v>202</v>
      </c>
      <c r="E225" s="901"/>
      <c r="F225" s="3"/>
    </row>
    <row r="226" spans="1:6" ht="15" customHeight="1">
      <c r="A226" t="s">
        <v>1694</v>
      </c>
      <c r="B226" t="s">
        <v>1695</v>
      </c>
      <c r="C226" s="710" t="s">
        <v>176</v>
      </c>
      <c r="D226" s="710" t="s">
        <v>202</v>
      </c>
      <c r="E226" s="901"/>
      <c r="F226" s="3"/>
    </row>
    <row r="227" spans="1:6" ht="15" customHeight="1">
      <c r="A227" t="s">
        <v>1698</v>
      </c>
      <c r="B227" t="s">
        <v>1699</v>
      </c>
      <c r="C227" s="710" t="s">
        <v>88</v>
      </c>
      <c r="D227" s="710" t="s">
        <v>205</v>
      </c>
      <c r="E227" s="901"/>
      <c r="F227" s="3"/>
    </row>
    <row r="228" spans="1:6" ht="15" customHeight="1">
      <c r="A228" t="s">
        <v>1700</v>
      </c>
      <c r="B228" t="s">
        <v>1701</v>
      </c>
      <c r="C228" s="710" t="s">
        <v>148</v>
      </c>
      <c r="D228" s="710" t="s">
        <v>205</v>
      </c>
      <c r="E228" s="901"/>
      <c r="F228" s="3"/>
    </row>
    <row r="229" spans="1:6" ht="15" customHeight="1">
      <c r="A229" t="s">
        <v>1702</v>
      </c>
      <c r="B229" t="s">
        <v>1703</v>
      </c>
      <c r="C229" s="710" t="s">
        <v>157</v>
      </c>
      <c r="D229" s="710" t="s">
        <v>205</v>
      </c>
      <c r="E229" s="901"/>
      <c r="F229" s="3"/>
    </row>
    <row r="230" spans="1:6" ht="15" customHeight="1">
      <c r="A230" t="s">
        <v>1704</v>
      </c>
      <c r="B230" t="s">
        <v>1705</v>
      </c>
      <c r="C230" s="710" t="s">
        <v>172</v>
      </c>
      <c r="D230" s="710" t="s">
        <v>205</v>
      </c>
      <c r="E230" s="901"/>
      <c r="F230" s="3"/>
    </row>
    <row r="231" spans="1:6" ht="15" customHeight="1">
      <c r="A231" t="s">
        <v>1706</v>
      </c>
      <c r="B231" t="s">
        <v>1707</v>
      </c>
      <c r="C231" s="710" t="s">
        <v>176</v>
      </c>
      <c r="D231" s="710" t="s">
        <v>205</v>
      </c>
      <c r="E231" s="901"/>
      <c r="F231" s="3"/>
    </row>
    <row r="232" spans="1:6" ht="15" customHeight="1">
      <c r="A232" t="s">
        <v>1710</v>
      </c>
      <c r="B232" t="s">
        <v>1711</v>
      </c>
      <c r="C232" s="710" t="s">
        <v>88</v>
      </c>
      <c r="D232" s="710" t="s">
        <v>206</v>
      </c>
      <c r="E232" s="901"/>
      <c r="F232" s="3"/>
    </row>
    <row r="233" spans="1:6" ht="15" customHeight="1">
      <c r="A233" t="s">
        <v>1712</v>
      </c>
      <c r="B233" t="s">
        <v>1713</v>
      </c>
      <c r="C233" s="710" t="s">
        <v>148</v>
      </c>
      <c r="D233" s="710" t="s">
        <v>206</v>
      </c>
      <c r="E233" s="901"/>
      <c r="F233" s="3"/>
    </row>
    <row r="234" spans="1:6" ht="15" customHeight="1">
      <c r="A234" t="s">
        <v>1714</v>
      </c>
      <c r="B234" t="s">
        <v>1715</v>
      </c>
      <c r="C234" s="710" t="s">
        <v>157</v>
      </c>
      <c r="D234" s="710" t="s">
        <v>206</v>
      </c>
      <c r="E234" s="901"/>
      <c r="F234" s="3"/>
    </row>
    <row r="235" spans="1:6" ht="15" customHeight="1">
      <c r="A235" t="s">
        <v>1716</v>
      </c>
      <c r="B235" t="s">
        <v>1717</v>
      </c>
      <c r="C235" s="710" t="s">
        <v>172</v>
      </c>
      <c r="D235" s="710" t="s">
        <v>206</v>
      </c>
      <c r="E235" s="901"/>
      <c r="F235" s="3"/>
    </row>
    <row r="236" spans="1:6" ht="15" customHeight="1">
      <c r="A236" t="s">
        <v>1718</v>
      </c>
      <c r="B236" t="s">
        <v>1719</v>
      </c>
      <c r="C236" s="710" t="s">
        <v>176</v>
      </c>
      <c r="D236" s="710" t="s">
        <v>206</v>
      </c>
      <c r="E236" s="901"/>
      <c r="F236" s="3"/>
    </row>
    <row r="237" spans="1:6" ht="15" customHeight="1">
      <c r="A237" s="937" t="s">
        <v>1722</v>
      </c>
      <c r="B237" s="937" t="s">
        <v>1723</v>
      </c>
      <c r="C237" s="940"/>
      <c r="D237" s="940"/>
      <c r="E237" s="941"/>
      <c r="F237" s="3"/>
    </row>
    <row r="238" spans="1:6" ht="15" customHeight="1">
      <c r="A238" s="937" t="s">
        <v>1724</v>
      </c>
      <c r="B238" s="937" t="s">
        <v>1725</v>
      </c>
      <c r="C238" s="940"/>
      <c r="D238" s="940"/>
      <c r="E238" s="941"/>
      <c r="F238" s="3"/>
    </row>
    <row r="239" spans="1:6" ht="15" customHeight="1">
      <c r="A239" s="937" t="s">
        <v>1726</v>
      </c>
      <c r="B239" s="937" t="s">
        <v>1727</v>
      </c>
      <c r="C239" s="940"/>
      <c r="D239" s="940"/>
      <c r="E239" s="941"/>
      <c r="F239" s="3"/>
    </row>
    <row r="240" spans="1:6" ht="15" customHeight="1">
      <c r="A240" s="937" t="s">
        <v>1728</v>
      </c>
      <c r="B240" s="937" t="s">
        <v>1729</v>
      </c>
      <c r="C240" s="940"/>
      <c r="D240" s="940"/>
      <c r="E240" s="941"/>
      <c r="F240" s="3"/>
    </row>
    <row r="241" spans="1:6" ht="15" customHeight="1">
      <c r="A241" s="937" t="s">
        <v>1730</v>
      </c>
      <c r="B241" s="937" t="s">
        <v>1731</v>
      </c>
      <c r="C241" s="940"/>
      <c r="D241" s="940"/>
      <c r="E241" s="941"/>
      <c r="F241" s="3"/>
    </row>
    <row r="242" spans="1:6" ht="15" customHeight="1">
      <c r="A242" t="s">
        <v>1734</v>
      </c>
      <c r="B242" t="s">
        <v>1735</v>
      </c>
      <c r="C242" s="710" t="s">
        <v>88</v>
      </c>
      <c r="D242" s="710" t="s">
        <v>203</v>
      </c>
      <c r="E242" s="901"/>
      <c r="F242" s="3"/>
    </row>
    <row r="243" spans="1:6" ht="15" customHeight="1">
      <c r="A243" t="s">
        <v>1736</v>
      </c>
      <c r="B243" t="s">
        <v>1737</v>
      </c>
      <c r="C243" s="710" t="s">
        <v>148</v>
      </c>
      <c r="D243" s="710" t="s">
        <v>203</v>
      </c>
      <c r="E243" s="901"/>
      <c r="F243" s="3"/>
    </row>
    <row r="244" spans="1:6" ht="15" customHeight="1">
      <c r="A244" t="s">
        <v>1738</v>
      </c>
      <c r="B244" t="s">
        <v>1739</v>
      </c>
      <c r="C244" s="710" t="s">
        <v>1163</v>
      </c>
      <c r="D244" s="710" t="s">
        <v>203</v>
      </c>
      <c r="E244" s="901"/>
      <c r="F244" s="3"/>
    </row>
    <row r="245" spans="1:6" ht="15" customHeight="1">
      <c r="A245" t="s">
        <v>1740</v>
      </c>
      <c r="B245" t="s">
        <v>1741</v>
      </c>
      <c r="C245" s="710" t="s">
        <v>157</v>
      </c>
      <c r="D245" s="710" t="s">
        <v>203</v>
      </c>
      <c r="E245" s="901"/>
      <c r="F245" s="3"/>
    </row>
    <row r="246" spans="1:6" ht="15" customHeight="1">
      <c r="A246" t="s">
        <v>1742</v>
      </c>
      <c r="B246" t="s">
        <v>1743</v>
      </c>
      <c r="C246" s="710" t="s">
        <v>172</v>
      </c>
      <c r="D246" s="710" t="s">
        <v>203</v>
      </c>
      <c r="E246" s="901"/>
      <c r="F246" s="3"/>
    </row>
    <row r="247" spans="1:6" ht="15" customHeight="1">
      <c r="A247" t="s">
        <v>1744</v>
      </c>
      <c r="B247" t="s">
        <v>1745</v>
      </c>
      <c r="C247" s="710" t="s">
        <v>176</v>
      </c>
      <c r="D247" s="710" t="s">
        <v>203</v>
      </c>
      <c r="E247" s="901"/>
      <c r="F247" s="3"/>
    </row>
    <row r="248" spans="1:6" ht="15" customHeight="1">
      <c r="A248" t="s">
        <v>1748</v>
      </c>
      <c r="B248" t="s">
        <v>1749</v>
      </c>
      <c r="C248" s="710" t="s">
        <v>88</v>
      </c>
      <c r="D248" s="710" t="s">
        <v>208</v>
      </c>
      <c r="E248" s="901"/>
      <c r="F248" s="3"/>
    </row>
    <row r="249" spans="1:6" ht="15" customHeight="1">
      <c r="A249" t="s">
        <v>1750</v>
      </c>
      <c r="B249" t="s">
        <v>1751</v>
      </c>
      <c r="C249" s="710" t="s">
        <v>148</v>
      </c>
      <c r="D249" s="710" t="s">
        <v>208</v>
      </c>
      <c r="E249" s="901"/>
      <c r="F249" s="3"/>
    </row>
    <row r="250" spans="1:6" ht="15" customHeight="1">
      <c r="A250" t="s">
        <v>1752</v>
      </c>
      <c r="B250" t="s">
        <v>1753</v>
      </c>
      <c r="C250" s="710" t="s">
        <v>157</v>
      </c>
      <c r="D250" s="710" t="s">
        <v>208</v>
      </c>
      <c r="E250" s="901"/>
      <c r="F250" s="3"/>
    </row>
    <row r="251" spans="1:6" ht="15" customHeight="1">
      <c r="A251" t="s">
        <v>1754</v>
      </c>
      <c r="B251" t="s">
        <v>1755</v>
      </c>
      <c r="C251" s="710" t="s">
        <v>172</v>
      </c>
      <c r="D251" s="710" t="s">
        <v>208</v>
      </c>
      <c r="E251" s="901"/>
      <c r="F251" s="3"/>
    </row>
    <row r="252" spans="1:6" ht="15" customHeight="1">
      <c r="A252" t="s">
        <v>1756</v>
      </c>
      <c r="B252" t="s">
        <v>1757</v>
      </c>
      <c r="C252" s="710" t="s">
        <v>176</v>
      </c>
      <c r="D252" s="710" t="s">
        <v>208</v>
      </c>
      <c r="E252" s="901"/>
      <c r="F252" s="3"/>
    </row>
    <row r="253" spans="1:6" ht="15" customHeight="1">
      <c r="A253" t="s">
        <v>1760</v>
      </c>
      <c r="B253" t="s">
        <v>1761</v>
      </c>
      <c r="C253" s="710" t="s">
        <v>88</v>
      </c>
      <c r="D253" s="710" t="s">
        <v>217</v>
      </c>
      <c r="E253" s="901"/>
      <c r="F253" s="3"/>
    </row>
    <row r="254" spans="1:6" ht="15" customHeight="1">
      <c r="A254" t="s">
        <v>1762</v>
      </c>
      <c r="B254" t="s">
        <v>1763</v>
      </c>
      <c r="C254" s="710" t="s">
        <v>148</v>
      </c>
      <c r="D254" s="710" t="s">
        <v>217</v>
      </c>
      <c r="E254" s="901"/>
      <c r="F254" s="3"/>
    </row>
    <row r="255" spans="1:6" ht="15" customHeight="1">
      <c r="A255" t="s">
        <v>1764</v>
      </c>
      <c r="B255" t="s">
        <v>1765</v>
      </c>
      <c r="C255" s="710" t="s">
        <v>157</v>
      </c>
      <c r="D255" s="710" t="s">
        <v>217</v>
      </c>
      <c r="E255" s="901"/>
      <c r="F255" s="3"/>
    </row>
    <row r="256" spans="1:6" ht="15" customHeight="1">
      <c r="A256" t="s">
        <v>1766</v>
      </c>
      <c r="B256" t="s">
        <v>1767</v>
      </c>
      <c r="C256" s="710" t="s">
        <v>172</v>
      </c>
      <c r="D256" s="710" t="s">
        <v>217</v>
      </c>
      <c r="E256" s="901"/>
      <c r="F256" s="3"/>
    </row>
    <row r="257" spans="1:6" ht="15" customHeight="1">
      <c r="A257" t="s">
        <v>1768</v>
      </c>
      <c r="B257" t="s">
        <v>1769</v>
      </c>
      <c r="C257" s="710" t="s">
        <v>176</v>
      </c>
      <c r="D257" s="710" t="s">
        <v>217</v>
      </c>
      <c r="E257" s="901"/>
      <c r="F257" s="3"/>
    </row>
    <row r="258" spans="1:6" ht="15" customHeight="1">
      <c r="A258" t="s">
        <v>1772</v>
      </c>
      <c r="B258" t="s">
        <v>1773</v>
      </c>
      <c r="C258" s="710" t="s">
        <v>88</v>
      </c>
      <c r="D258" s="710" t="s">
        <v>209</v>
      </c>
      <c r="E258" s="901"/>
      <c r="F258" s="3"/>
    </row>
    <row r="259" spans="1:6" ht="15" customHeight="1">
      <c r="A259" t="s">
        <v>1774</v>
      </c>
      <c r="B259" t="s">
        <v>1775</v>
      </c>
      <c r="C259" s="710" t="s">
        <v>148</v>
      </c>
      <c r="D259" s="710" t="s">
        <v>209</v>
      </c>
      <c r="E259" s="901"/>
      <c r="F259" s="3"/>
    </row>
    <row r="260" spans="1:6" ht="15" customHeight="1">
      <c r="A260" t="s">
        <v>1776</v>
      </c>
      <c r="B260" t="s">
        <v>1777</v>
      </c>
      <c r="C260" s="710" t="s">
        <v>157</v>
      </c>
      <c r="D260" s="710" t="s">
        <v>209</v>
      </c>
      <c r="E260" s="901"/>
      <c r="F260" s="3"/>
    </row>
    <row r="261" spans="1:6" ht="15" customHeight="1">
      <c r="A261" t="s">
        <v>1778</v>
      </c>
      <c r="B261" t="s">
        <v>1779</v>
      </c>
      <c r="C261" s="710" t="s">
        <v>172</v>
      </c>
      <c r="D261" s="710" t="s">
        <v>209</v>
      </c>
      <c r="E261" s="901"/>
      <c r="F261" s="3"/>
    </row>
    <row r="262" spans="1:6" ht="15" customHeight="1">
      <c r="A262" t="s">
        <v>1780</v>
      </c>
      <c r="B262" t="s">
        <v>1781</v>
      </c>
      <c r="C262" s="710" t="s">
        <v>176</v>
      </c>
      <c r="D262" s="710" t="s">
        <v>209</v>
      </c>
      <c r="E262" s="901"/>
      <c r="F262" s="3"/>
    </row>
    <row r="263" spans="1:6" ht="15" customHeight="1">
      <c r="A263" t="s">
        <v>1785</v>
      </c>
      <c r="B263" t="s">
        <v>1140</v>
      </c>
      <c r="C263" s="710"/>
      <c r="D263" s="710"/>
      <c r="E263" s="901"/>
      <c r="F263" s="3"/>
    </row>
    <row r="264" spans="1:6" ht="15" customHeight="1">
      <c r="A264" t="s">
        <v>1786</v>
      </c>
      <c r="B264" t="s">
        <v>644</v>
      </c>
      <c r="C264" s="710" t="s">
        <v>652</v>
      </c>
      <c r="D264" s="710" t="s">
        <v>21</v>
      </c>
      <c r="E264" s="901"/>
      <c r="F264" s="3"/>
    </row>
    <row r="265" spans="1:6" ht="15" customHeight="1">
      <c r="A265" t="s">
        <v>1787</v>
      </c>
      <c r="B265" t="s">
        <v>1788</v>
      </c>
      <c r="C265" s="710" t="s">
        <v>652</v>
      </c>
      <c r="D265" s="710" t="s">
        <v>49</v>
      </c>
      <c r="E265" s="901"/>
      <c r="F265" s="3"/>
    </row>
    <row r="266" spans="1:6" ht="15" customHeight="1">
      <c r="A266" t="s">
        <v>1789</v>
      </c>
      <c r="B266" t="s">
        <v>1790</v>
      </c>
      <c r="C266" s="710" t="s">
        <v>652</v>
      </c>
      <c r="D266" s="710" t="s">
        <v>21</v>
      </c>
      <c r="E266" s="901"/>
      <c r="F266" s="3"/>
    </row>
    <row r="267" spans="1:6" ht="15.6" customHeight="1">
      <c r="A267" t="s">
        <v>1793</v>
      </c>
      <c r="B267" t="s">
        <v>1138</v>
      </c>
      <c r="C267" s="710" t="s">
        <v>652</v>
      </c>
      <c r="D267" s="710" t="s">
        <v>21</v>
      </c>
      <c r="E267" s="901"/>
      <c r="F267" s="3"/>
    </row>
    <row r="268" spans="1:6" ht="15" customHeight="1">
      <c r="A268" t="s">
        <v>1796</v>
      </c>
      <c r="B268" t="s">
        <v>1797</v>
      </c>
      <c r="C268" s="710"/>
      <c r="D268" s="710"/>
      <c r="E268" s="901"/>
      <c r="F268" s="3"/>
    </row>
    <row r="269" spans="1:6" ht="15" customHeight="1">
      <c r="A269" t="s">
        <v>1799</v>
      </c>
      <c r="B269" t="s">
        <v>1800</v>
      </c>
      <c r="C269" s="710" t="s">
        <v>652</v>
      </c>
      <c r="D269" s="710" t="s">
        <v>21</v>
      </c>
      <c r="E269" s="901"/>
      <c r="F269" s="3"/>
    </row>
    <row r="270" spans="1:6" ht="15" customHeight="1">
      <c r="A270" t="s">
        <v>1803</v>
      </c>
      <c r="B270" t="s">
        <v>1804</v>
      </c>
      <c r="C270" s="710"/>
      <c r="D270" s="710"/>
      <c r="E270" s="901"/>
      <c r="F270" s="3"/>
    </row>
    <row r="271" spans="1:6" ht="15" customHeight="1">
      <c r="A271" t="s">
        <v>1805</v>
      </c>
      <c r="B271" t="s">
        <v>1806</v>
      </c>
      <c r="C271" s="710" t="s">
        <v>652</v>
      </c>
      <c r="D271" s="710" t="s">
        <v>25</v>
      </c>
      <c r="E271" s="901"/>
      <c r="F271" s="3"/>
    </row>
    <row r="272" spans="1:6" ht="15" customHeight="1">
      <c r="A272" t="s">
        <v>1810</v>
      </c>
      <c r="B272" t="s">
        <v>1811</v>
      </c>
      <c r="C272" s="710" t="s">
        <v>652</v>
      </c>
      <c r="D272" s="710" t="s">
        <v>26</v>
      </c>
      <c r="E272" s="901"/>
      <c r="F272" s="3"/>
    </row>
    <row r="273" spans="1:6" ht="15" customHeight="1">
      <c r="A273" t="s">
        <v>1812</v>
      </c>
      <c r="B273" t="s">
        <v>1813</v>
      </c>
      <c r="C273" s="710"/>
      <c r="D273" s="710"/>
      <c r="E273" s="901"/>
      <c r="F273" s="3"/>
    </row>
    <row r="274" spans="1:6" ht="15" customHeight="1">
      <c r="A274" t="s">
        <v>1814</v>
      </c>
      <c r="B274" t="s">
        <v>1815</v>
      </c>
      <c r="C274" s="710" t="s">
        <v>652</v>
      </c>
      <c r="D274" s="710" t="s">
        <v>30</v>
      </c>
      <c r="E274" s="901"/>
      <c r="F274" s="3"/>
    </row>
    <row r="275" spans="1:6" ht="15" customHeight="1">
      <c r="A275" t="s">
        <v>1816</v>
      </c>
      <c r="B275" t="s">
        <v>1817</v>
      </c>
      <c r="C275" s="710" t="s">
        <v>652</v>
      </c>
      <c r="D275" s="710" t="s">
        <v>26</v>
      </c>
      <c r="E275" s="901"/>
      <c r="F275" s="3"/>
    </row>
    <row r="276" spans="1:6" ht="15" customHeight="1">
      <c r="A276" t="s">
        <v>1818</v>
      </c>
      <c r="B276" t="s">
        <v>1819</v>
      </c>
      <c r="C276" s="710" t="s">
        <v>652</v>
      </c>
      <c r="D276" s="710" t="s">
        <v>34</v>
      </c>
      <c r="E276" s="901"/>
      <c r="F276" s="3"/>
    </row>
    <row r="277" spans="1:6" ht="15" customHeight="1">
      <c r="A277" t="s">
        <v>1820</v>
      </c>
      <c r="B277" t="s">
        <v>1821</v>
      </c>
      <c r="C277" s="710" t="s">
        <v>652</v>
      </c>
      <c r="D277" s="710" t="s">
        <v>26</v>
      </c>
      <c r="E277" s="901"/>
      <c r="F277" s="3"/>
    </row>
    <row r="278" spans="1:6" ht="15" customHeight="1">
      <c r="A278" t="s">
        <v>1822</v>
      </c>
      <c r="B278" t="s">
        <v>1823</v>
      </c>
      <c r="C278" s="710" t="s">
        <v>652</v>
      </c>
      <c r="D278" s="710" t="s">
        <v>31</v>
      </c>
      <c r="E278" s="901"/>
      <c r="F278" s="3"/>
    </row>
    <row r="279" spans="1:6" ht="15" customHeight="1">
      <c r="A279" t="s">
        <v>1824</v>
      </c>
      <c r="B279" t="s">
        <v>1825</v>
      </c>
      <c r="C279" s="710" t="s">
        <v>652</v>
      </c>
      <c r="D279" s="710" t="s">
        <v>31</v>
      </c>
      <c r="E279" s="901"/>
      <c r="F279" s="3"/>
    </row>
    <row r="280" spans="1:6" ht="15" customHeight="1">
      <c r="A280" t="s">
        <v>1826</v>
      </c>
      <c r="B280" t="s">
        <v>1827</v>
      </c>
      <c r="C280" s="710" t="s">
        <v>652</v>
      </c>
      <c r="D280" s="710" t="s">
        <v>38</v>
      </c>
      <c r="E280" s="901"/>
      <c r="F280" s="3"/>
    </row>
    <row r="281" spans="1:6" ht="15" customHeight="1">
      <c r="A281" t="s">
        <v>1828</v>
      </c>
      <c r="B281" t="s">
        <v>1829</v>
      </c>
      <c r="C281" s="710" t="s">
        <v>652</v>
      </c>
      <c r="D281" s="710" t="s">
        <v>26</v>
      </c>
      <c r="E281" s="901"/>
      <c r="F281" s="3"/>
    </row>
    <row r="282" spans="1:6" ht="15" customHeight="1">
      <c r="A282" t="s">
        <v>1830</v>
      </c>
      <c r="B282" t="s">
        <v>1831</v>
      </c>
      <c r="C282" s="710" t="s">
        <v>652</v>
      </c>
      <c r="D282" s="710" t="s">
        <v>26</v>
      </c>
      <c r="E282" s="901"/>
      <c r="F282" s="3"/>
    </row>
    <row r="283" spans="1:6" ht="15" customHeight="1">
      <c r="A283" t="s">
        <v>1833</v>
      </c>
      <c r="B283" t="s">
        <v>1834</v>
      </c>
      <c r="C283" s="710" t="s">
        <v>652</v>
      </c>
      <c r="D283" s="710" t="s">
        <v>26</v>
      </c>
      <c r="E283" s="901"/>
      <c r="F283" s="3"/>
    </row>
    <row r="284" spans="1:6" ht="15" customHeight="1">
      <c r="A284" t="s">
        <v>1835</v>
      </c>
      <c r="B284" t="s">
        <v>1836</v>
      </c>
      <c r="C284" s="710" t="s">
        <v>652</v>
      </c>
      <c r="D284" s="710" t="s">
        <v>26</v>
      </c>
      <c r="E284" s="901"/>
      <c r="F284" s="3"/>
    </row>
    <row r="285" spans="1:6" ht="15" customHeight="1">
      <c r="A285" t="s">
        <v>1839</v>
      </c>
      <c r="B285" t="s">
        <v>1840</v>
      </c>
      <c r="C285" s="710" t="s">
        <v>652</v>
      </c>
      <c r="D285" s="710" t="s">
        <v>26</v>
      </c>
      <c r="E285" s="901"/>
      <c r="F285" s="3"/>
    </row>
    <row r="286" spans="1:6" ht="15" customHeight="1">
      <c r="A286" t="s">
        <v>1841</v>
      </c>
      <c r="B286" t="s">
        <v>1842</v>
      </c>
      <c r="C286" s="710" t="s">
        <v>652</v>
      </c>
      <c r="D286" s="710" t="s">
        <v>26</v>
      </c>
      <c r="E286" s="901"/>
      <c r="F286" s="3"/>
    </row>
    <row r="287" spans="1:6" ht="15" customHeight="1">
      <c r="A287" t="s">
        <v>1843</v>
      </c>
      <c r="B287" t="s">
        <v>1844</v>
      </c>
      <c r="C287" s="710" t="s">
        <v>652</v>
      </c>
      <c r="D287" s="710" t="s">
        <v>26</v>
      </c>
      <c r="E287" s="901"/>
      <c r="F287" s="3"/>
    </row>
    <row r="288" spans="1:6" ht="15" customHeight="1">
      <c r="A288" t="s">
        <v>1845</v>
      </c>
      <c r="B288" t="s">
        <v>1846</v>
      </c>
      <c r="C288" s="710" t="s">
        <v>652</v>
      </c>
      <c r="D288" s="710" t="s">
        <v>26</v>
      </c>
      <c r="E288" s="901"/>
      <c r="F288" s="3"/>
    </row>
    <row r="289" spans="1:6" ht="15" customHeight="1">
      <c r="A289" t="s">
        <v>1851</v>
      </c>
      <c r="B289" t="s">
        <v>1852</v>
      </c>
      <c r="C289" s="710" t="s">
        <v>652</v>
      </c>
      <c r="D289" s="710" t="s">
        <v>36</v>
      </c>
      <c r="E289" s="901"/>
      <c r="F289" s="3"/>
    </row>
    <row r="290" spans="1:6" ht="15" customHeight="1">
      <c r="A290" t="s">
        <v>1853</v>
      </c>
      <c r="B290" t="s">
        <v>1854</v>
      </c>
      <c r="C290" s="710" t="s">
        <v>652</v>
      </c>
      <c r="D290" s="710" t="s">
        <v>36</v>
      </c>
      <c r="E290" s="710"/>
      <c r="F290" s="3"/>
    </row>
    <row r="291" spans="1:6" ht="15" customHeight="1">
      <c r="A291" t="s">
        <v>1855</v>
      </c>
      <c r="B291" t="s">
        <v>1856</v>
      </c>
      <c r="C291" s="710" t="s">
        <v>652</v>
      </c>
      <c r="D291" s="710" t="s">
        <v>36</v>
      </c>
      <c r="E291" s="710"/>
      <c r="F291" s="3"/>
    </row>
    <row r="292" spans="1:6" ht="15" customHeight="1">
      <c r="A292" t="s">
        <v>1857</v>
      </c>
      <c r="B292" t="s">
        <v>1858</v>
      </c>
      <c r="C292" s="710" t="s">
        <v>652</v>
      </c>
      <c r="D292" s="710" t="s">
        <v>36</v>
      </c>
      <c r="E292" s="710"/>
      <c r="F292" s="3"/>
    </row>
    <row r="293" spans="1:6" ht="15" customHeight="1">
      <c r="A293" t="s">
        <v>1859</v>
      </c>
      <c r="B293" t="s">
        <v>1860</v>
      </c>
      <c r="C293" s="710" t="s">
        <v>652</v>
      </c>
      <c r="D293" s="710" t="s">
        <v>26</v>
      </c>
      <c r="E293" s="710"/>
      <c r="F293" s="3"/>
    </row>
    <row r="294" spans="1:6" ht="15" customHeight="1">
      <c r="A294" t="s">
        <v>1861</v>
      </c>
      <c r="B294" t="s">
        <v>1862</v>
      </c>
      <c r="C294" s="710" t="s">
        <v>652</v>
      </c>
      <c r="D294" s="710" t="s">
        <v>26</v>
      </c>
      <c r="E294" s="710"/>
      <c r="F294" s="3"/>
    </row>
    <row r="295" spans="1:6" ht="15" customHeight="1">
      <c r="A295" t="s">
        <v>1863</v>
      </c>
      <c r="B295" t="s">
        <v>1864</v>
      </c>
      <c r="C295" s="710" t="s">
        <v>652</v>
      </c>
      <c r="D295" s="710" t="s">
        <v>26</v>
      </c>
      <c r="E295" s="710"/>
      <c r="F295" s="3"/>
    </row>
    <row r="296" spans="1:6" ht="15" customHeight="1">
      <c r="A296" t="s">
        <v>1865</v>
      </c>
      <c r="B296" t="s">
        <v>1866</v>
      </c>
      <c r="C296" s="710" t="s">
        <v>652</v>
      </c>
      <c r="D296" s="710" t="s">
        <v>26</v>
      </c>
      <c r="E296" s="710"/>
      <c r="F296" s="3"/>
    </row>
    <row r="297" spans="1:6" ht="15" customHeight="1">
      <c r="A297" t="s">
        <v>1867</v>
      </c>
      <c r="B297" t="s">
        <v>1868</v>
      </c>
      <c r="C297" s="710"/>
      <c r="D297" s="710"/>
      <c r="E297" s="710"/>
      <c r="F297" s="3"/>
    </row>
    <row r="298" spans="1:6" ht="15" customHeight="1">
      <c r="A298" t="s">
        <v>1869</v>
      </c>
      <c r="B298" t="s">
        <v>1870</v>
      </c>
      <c r="C298" s="710" t="s">
        <v>652</v>
      </c>
      <c r="D298" s="710" t="s">
        <v>26</v>
      </c>
      <c r="E298" s="710"/>
      <c r="F298" s="3"/>
    </row>
    <row r="299" spans="1:6" ht="15" customHeight="1">
      <c r="A299" t="s">
        <v>1871</v>
      </c>
      <c r="B299" t="s">
        <v>1872</v>
      </c>
      <c r="C299" s="710" t="s">
        <v>652</v>
      </c>
      <c r="D299" s="710" t="s">
        <v>36</v>
      </c>
      <c r="E299" s="710"/>
      <c r="F299" s="3"/>
    </row>
    <row r="300" spans="1:6" ht="15" customHeight="1">
      <c r="A300" t="s">
        <v>1875</v>
      </c>
      <c r="B300" t="s">
        <v>1876</v>
      </c>
      <c r="C300" s="710" t="s">
        <v>652</v>
      </c>
      <c r="D300" s="710" t="s">
        <v>26</v>
      </c>
      <c r="E300" s="710"/>
      <c r="F300" s="3"/>
    </row>
    <row r="301" spans="1:6" ht="15" customHeight="1">
      <c r="A301" t="s">
        <v>1873</v>
      </c>
      <c r="B301" t="s">
        <v>1874</v>
      </c>
      <c r="C301" s="710" t="s">
        <v>652</v>
      </c>
      <c r="D301" s="710" t="s">
        <v>36</v>
      </c>
      <c r="E301" s="710"/>
      <c r="F301" s="3"/>
    </row>
    <row r="302" spans="1:6" ht="15" customHeight="1">
      <c r="A302" t="s">
        <v>1877</v>
      </c>
      <c r="B302" t="s">
        <v>1878</v>
      </c>
      <c r="C302" s="710" t="s">
        <v>652</v>
      </c>
      <c r="D302" s="710" t="s">
        <v>36</v>
      </c>
      <c r="E302" s="710"/>
      <c r="F302" s="3"/>
    </row>
    <row r="303" spans="1:6" ht="15" customHeight="1">
      <c r="A303" t="s">
        <v>1879</v>
      </c>
      <c r="B303" t="s">
        <v>1880</v>
      </c>
      <c r="C303" s="710" t="s">
        <v>652</v>
      </c>
      <c r="D303" s="710" t="s">
        <v>36</v>
      </c>
      <c r="E303" s="710"/>
      <c r="F303" s="3"/>
    </row>
    <row r="304" spans="1:6" ht="15" customHeight="1">
      <c r="A304" t="s">
        <v>1881</v>
      </c>
      <c r="B304" t="s">
        <v>1882</v>
      </c>
      <c r="C304" s="710" t="s">
        <v>652</v>
      </c>
      <c r="D304" s="710" t="s">
        <v>36</v>
      </c>
      <c r="E304" s="710"/>
      <c r="F304" s="3"/>
    </row>
    <row r="305" spans="1:6" ht="15" customHeight="1">
      <c r="A305" t="s">
        <v>1883</v>
      </c>
      <c r="B305" t="s">
        <v>1884</v>
      </c>
      <c r="C305" s="710"/>
      <c r="D305" s="710"/>
      <c r="E305" s="710"/>
      <c r="F305" s="3"/>
    </row>
    <row r="306" spans="1:6" ht="15" customHeight="1">
      <c r="A306" t="s">
        <v>1885</v>
      </c>
      <c r="B306" t="s">
        <v>1886</v>
      </c>
      <c r="C306" s="710"/>
      <c r="D306" s="710"/>
      <c r="E306" s="710"/>
      <c r="F306" s="3"/>
    </row>
    <row r="307" spans="1:6" ht="15" customHeight="1">
      <c r="A307" t="s">
        <v>1887</v>
      </c>
      <c r="B307" t="s">
        <v>1888</v>
      </c>
      <c r="C307" s="710" t="s">
        <v>652</v>
      </c>
      <c r="D307" s="710" t="s">
        <v>36</v>
      </c>
      <c r="E307" s="710"/>
      <c r="F307" s="3"/>
    </row>
    <row r="308" spans="1:6" ht="15" customHeight="1">
      <c r="A308" t="s">
        <v>1891</v>
      </c>
      <c r="B308" t="s">
        <v>1892</v>
      </c>
      <c r="C308" s="710" t="s">
        <v>652</v>
      </c>
      <c r="D308" s="710" t="s">
        <v>36</v>
      </c>
      <c r="E308" s="710"/>
      <c r="F308" s="3"/>
    </row>
    <row r="309" spans="1:6" ht="15" customHeight="1">
      <c r="A309" t="s">
        <v>1893</v>
      </c>
      <c r="B309" t="s">
        <v>1894</v>
      </c>
      <c r="C309" s="710" t="s">
        <v>652</v>
      </c>
      <c r="D309" s="710" t="s">
        <v>36</v>
      </c>
      <c r="E309" s="710"/>
      <c r="F309" s="3"/>
    </row>
    <row r="310" spans="1:6" ht="15" customHeight="1">
      <c r="A310" t="s">
        <v>1895</v>
      </c>
      <c r="B310" t="s">
        <v>1896</v>
      </c>
      <c r="C310" s="710"/>
      <c r="D310" s="710"/>
      <c r="E310" s="710"/>
      <c r="F310" s="3"/>
    </row>
    <row r="311" spans="1:6" ht="15" customHeight="1">
      <c r="A311" t="s">
        <v>1897</v>
      </c>
      <c r="B311" t="s">
        <v>1898</v>
      </c>
      <c r="C311" s="710" t="s">
        <v>652</v>
      </c>
      <c r="D311" s="710" t="s">
        <v>36</v>
      </c>
      <c r="E311" s="710"/>
      <c r="F311" s="3"/>
    </row>
    <row r="312" spans="1:6" ht="15" customHeight="1">
      <c r="A312" s="937" t="s">
        <v>1899</v>
      </c>
      <c r="B312" s="937" t="s">
        <v>1900</v>
      </c>
      <c r="C312" s="940" t="s">
        <v>652</v>
      </c>
      <c r="D312" s="940" t="s">
        <v>26</v>
      </c>
      <c r="E312" s="940"/>
      <c r="F312" s="3"/>
    </row>
    <row r="313" spans="1:6" ht="15" customHeight="1">
      <c r="A313" s="937" t="s">
        <v>1901</v>
      </c>
      <c r="B313" s="937" t="s">
        <v>1902</v>
      </c>
      <c r="C313" s="940" t="s">
        <v>652</v>
      </c>
      <c r="D313" s="940" t="s">
        <v>26</v>
      </c>
      <c r="E313" s="940"/>
      <c r="F313" s="3"/>
    </row>
    <row r="314" spans="1:6" ht="15" customHeight="1">
      <c r="A314" t="s">
        <v>1905</v>
      </c>
      <c r="B314" t="s">
        <v>1906</v>
      </c>
      <c r="C314" s="710" t="s">
        <v>652</v>
      </c>
      <c r="D314" s="710" t="s">
        <v>21</v>
      </c>
      <c r="E314" s="710"/>
      <c r="F314" s="3"/>
    </row>
    <row r="315" spans="1:6" ht="15" customHeight="1">
      <c r="A315" t="s">
        <v>1907</v>
      </c>
      <c r="B315" t="s">
        <v>1908</v>
      </c>
      <c r="C315" s="710" t="s">
        <v>652</v>
      </c>
      <c r="D315" s="710" t="s">
        <v>21</v>
      </c>
      <c r="E315" s="710"/>
      <c r="F315" s="3"/>
    </row>
    <row r="316" spans="1:6" ht="15" customHeight="1">
      <c r="A316" t="s">
        <v>1909</v>
      </c>
      <c r="B316" t="s">
        <v>1910</v>
      </c>
      <c r="C316" s="710" t="s">
        <v>652</v>
      </c>
      <c r="D316" s="710" t="s">
        <v>21</v>
      </c>
      <c r="E316" s="710"/>
      <c r="F316" s="3"/>
    </row>
    <row r="317" spans="1:6" ht="15" customHeight="1">
      <c r="A317" t="s">
        <v>1911</v>
      </c>
      <c r="B317" t="s">
        <v>1912</v>
      </c>
      <c r="C317" s="710" t="s">
        <v>652</v>
      </c>
      <c r="D317" s="710" t="s">
        <v>21</v>
      </c>
      <c r="E317" s="710"/>
      <c r="F317" s="3"/>
    </row>
    <row r="318" spans="1:6" ht="15" customHeight="1">
      <c r="A318" t="s">
        <v>1913</v>
      </c>
      <c r="B318" t="s">
        <v>1914</v>
      </c>
      <c r="C318" s="710" t="s">
        <v>652</v>
      </c>
      <c r="D318" s="710" t="s">
        <v>21</v>
      </c>
      <c r="E318" s="710"/>
      <c r="F318" s="3"/>
    </row>
    <row r="319" spans="1:6" ht="15" customHeight="1">
      <c r="A319" t="s">
        <v>1915</v>
      </c>
      <c r="B319" t="s">
        <v>1916</v>
      </c>
      <c r="C319" s="710" t="s">
        <v>652</v>
      </c>
      <c r="D319" s="710" t="s">
        <v>21</v>
      </c>
      <c r="E319" s="710"/>
      <c r="F319" s="3"/>
    </row>
    <row r="320" spans="1:6" ht="15" customHeight="1">
      <c r="A320" t="s">
        <v>1919</v>
      </c>
      <c r="B320" t="s">
        <v>1920</v>
      </c>
      <c r="C320" s="710" t="s">
        <v>652</v>
      </c>
      <c r="D320" s="710" t="s">
        <v>42</v>
      </c>
      <c r="E320" s="710"/>
      <c r="F320" s="3"/>
    </row>
    <row r="321" spans="1:6" ht="15" customHeight="1">
      <c r="A321" t="s">
        <v>1923</v>
      </c>
      <c r="B321" t="s">
        <v>1924</v>
      </c>
      <c r="C321" s="710" t="s">
        <v>652</v>
      </c>
      <c r="D321" s="710" t="s">
        <v>42</v>
      </c>
      <c r="E321" s="710"/>
      <c r="F321" s="3"/>
    </row>
    <row r="322" spans="1:6" ht="15" customHeight="1">
      <c r="A322" t="s">
        <v>1925</v>
      </c>
      <c r="B322" t="s">
        <v>1926</v>
      </c>
      <c r="C322" s="710" t="s">
        <v>652</v>
      </c>
      <c r="D322" s="710" t="s">
        <v>44</v>
      </c>
      <c r="E322" s="710"/>
      <c r="F322" s="3"/>
    </row>
    <row r="323" spans="1:6" ht="15" customHeight="1">
      <c r="A323" t="s">
        <v>1929</v>
      </c>
      <c r="B323" t="s">
        <v>1930</v>
      </c>
      <c r="C323" s="710" t="s">
        <v>652</v>
      </c>
      <c r="D323" s="710" t="s">
        <v>44</v>
      </c>
      <c r="E323" s="710"/>
      <c r="F323" s="3"/>
    </row>
    <row r="324" spans="1:6" ht="15" customHeight="1">
      <c r="A324" t="s">
        <v>1931</v>
      </c>
      <c r="B324" t="s">
        <v>1932</v>
      </c>
      <c r="C324" s="710" t="s">
        <v>652</v>
      </c>
      <c r="D324" s="710" t="s">
        <v>44</v>
      </c>
      <c r="E324" s="710"/>
      <c r="F324" s="3"/>
    </row>
    <row r="325" spans="1:6" ht="15" customHeight="1">
      <c r="A325" t="s">
        <v>1935</v>
      </c>
      <c r="B325" t="s">
        <v>1936</v>
      </c>
      <c r="C325" s="710" t="s">
        <v>652</v>
      </c>
      <c r="D325" s="710" t="s">
        <v>46</v>
      </c>
      <c r="E325" s="710"/>
      <c r="F325" s="3"/>
    </row>
    <row r="326" spans="1:6" ht="15" customHeight="1">
      <c r="A326" t="s">
        <v>1937</v>
      </c>
      <c r="B326" t="s">
        <v>1938</v>
      </c>
      <c r="C326" s="710" t="s">
        <v>652</v>
      </c>
      <c r="D326" s="710" t="s">
        <v>46</v>
      </c>
      <c r="E326" s="710"/>
      <c r="F326" s="3"/>
    </row>
    <row r="327" spans="1:6" ht="15" customHeight="1">
      <c r="A327" t="s">
        <v>1941</v>
      </c>
      <c r="B327" t="s">
        <v>1942</v>
      </c>
      <c r="C327" s="710" t="s">
        <v>652</v>
      </c>
      <c r="D327" s="710" t="s">
        <v>46</v>
      </c>
      <c r="E327" s="710"/>
      <c r="F327" s="3"/>
    </row>
    <row r="328" spans="1:6" ht="15" customHeight="1">
      <c r="A328" t="s">
        <v>1943</v>
      </c>
      <c r="B328" t="s">
        <v>1944</v>
      </c>
      <c r="C328" s="710" t="s">
        <v>652</v>
      </c>
      <c r="D328" s="710" t="s">
        <v>46</v>
      </c>
      <c r="E328" s="710"/>
      <c r="F328" s="3"/>
    </row>
    <row r="329" spans="1:6" ht="15" customHeight="1">
      <c r="A329" t="s">
        <v>1945</v>
      </c>
      <c r="B329" t="s">
        <v>1946</v>
      </c>
      <c r="C329" s="710" t="s">
        <v>652</v>
      </c>
      <c r="D329" s="710" t="s">
        <v>46</v>
      </c>
      <c r="E329" s="710"/>
      <c r="F329" s="3"/>
    </row>
    <row r="330" spans="1:6" ht="15" customHeight="1">
      <c r="A330" t="s">
        <v>1947</v>
      </c>
      <c r="B330" t="s">
        <v>1948</v>
      </c>
      <c r="C330" s="710" t="s">
        <v>652</v>
      </c>
      <c r="D330" s="710" t="s">
        <v>46</v>
      </c>
      <c r="E330" s="710"/>
      <c r="F330" s="3"/>
    </row>
    <row r="331" spans="1:6" ht="15" customHeight="1">
      <c r="A331" t="s">
        <v>1949</v>
      </c>
      <c r="B331" t="s">
        <v>1950</v>
      </c>
      <c r="C331" s="710" t="s">
        <v>652</v>
      </c>
      <c r="D331" s="710" t="s">
        <v>46</v>
      </c>
      <c r="E331" s="710"/>
      <c r="F331" s="3"/>
    </row>
    <row r="332" spans="1:6" ht="15" customHeight="1">
      <c r="A332" t="s">
        <v>1951</v>
      </c>
      <c r="B332" t="s">
        <v>1952</v>
      </c>
      <c r="C332" s="710" t="s">
        <v>652</v>
      </c>
      <c r="D332" s="710" t="s">
        <v>54</v>
      </c>
      <c r="E332" s="710"/>
      <c r="F332" s="3"/>
    </row>
    <row r="333" spans="1:6" ht="15" customHeight="1">
      <c r="A333" t="s">
        <v>1953</v>
      </c>
      <c r="B333" t="s">
        <v>1954</v>
      </c>
      <c r="C333" s="710" t="s">
        <v>652</v>
      </c>
      <c r="D333" s="710" t="s">
        <v>54</v>
      </c>
      <c r="E333" s="710"/>
      <c r="F333" s="3"/>
    </row>
    <row r="334" spans="1:6" ht="15" customHeight="1">
      <c r="A334" t="s">
        <v>1955</v>
      </c>
      <c r="B334" t="s">
        <v>1956</v>
      </c>
      <c r="C334" s="710" t="s">
        <v>652</v>
      </c>
      <c r="D334" s="710" t="s">
        <v>54</v>
      </c>
      <c r="E334" s="710"/>
      <c r="F334" s="3"/>
    </row>
    <row r="335" spans="1:6" ht="15" customHeight="1">
      <c r="A335" t="s">
        <v>1957</v>
      </c>
      <c r="B335" t="s">
        <v>1958</v>
      </c>
      <c r="C335" s="710" t="s">
        <v>652</v>
      </c>
      <c r="D335" s="710" t="s">
        <v>52</v>
      </c>
      <c r="E335" s="710"/>
      <c r="F335" s="3"/>
    </row>
    <row r="336" spans="1:6" ht="15" customHeight="1">
      <c r="A336" t="s">
        <v>1959</v>
      </c>
      <c r="B336" t="s">
        <v>1960</v>
      </c>
      <c r="C336" s="710" t="s">
        <v>652</v>
      </c>
      <c r="D336" s="710" t="s">
        <v>52</v>
      </c>
      <c r="E336" s="710"/>
      <c r="F336" s="3"/>
    </row>
    <row r="337" spans="1:6" ht="15" customHeight="1">
      <c r="A337" t="s">
        <v>1961</v>
      </c>
      <c r="B337" t="s">
        <v>1962</v>
      </c>
      <c r="C337" s="710" t="s">
        <v>652</v>
      </c>
      <c r="D337" s="710" t="s">
        <v>52</v>
      </c>
      <c r="E337" s="710"/>
      <c r="F337" s="3"/>
    </row>
    <row r="338" spans="1:6" ht="15" customHeight="1">
      <c r="A338" t="s">
        <v>1963</v>
      </c>
      <c r="B338" t="s">
        <v>1964</v>
      </c>
      <c r="C338" s="710" t="s">
        <v>652</v>
      </c>
      <c r="D338" s="710" t="s">
        <v>52</v>
      </c>
      <c r="E338" s="710"/>
      <c r="F338" s="3"/>
    </row>
    <row r="339" spans="1:6" ht="15" customHeight="1">
      <c r="A339" t="s">
        <v>1965</v>
      </c>
      <c r="B339" t="s">
        <v>1966</v>
      </c>
      <c r="C339" s="710" t="s">
        <v>652</v>
      </c>
      <c r="D339" s="710" t="s">
        <v>38</v>
      </c>
      <c r="E339" s="710"/>
      <c r="F339" s="3"/>
    </row>
    <row r="340" spans="1:6" ht="15" customHeight="1">
      <c r="A340" t="s">
        <v>1969</v>
      </c>
      <c r="B340" t="s">
        <v>1970</v>
      </c>
      <c r="C340" s="710"/>
      <c r="D340" s="710"/>
      <c r="E340" s="710"/>
      <c r="F340" s="3"/>
    </row>
    <row r="341" spans="1:6" ht="15" customHeight="1">
      <c r="A341" s="937" t="s">
        <v>1971</v>
      </c>
      <c r="B341" s="937" t="s">
        <v>1972</v>
      </c>
      <c r="C341" s="940" t="s">
        <v>652</v>
      </c>
      <c r="D341" s="940" t="s">
        <v>21</v>
      </c>
      <c r="E341" s="940"/>
      <c r="F341" s="3"/>
    </row>
    <row r="342" spans="1:6" ht="15" customHeight="1">
      <c r="A342" t="s">
        <v>1973</v>
      </c>
      <c r="B342" t="s">
        <v>1974</v>
      </c>
      <c r="C342" s="710" t="s">
        <v>652</v>
      </c>
      <c r="D342" s="710" t="s">
        <v>28</v>
      </c>
      <c r="E342" s="710"/>
      <c r="F342" s="3"/>
    </row>
    <row r="343" spans="1:6" ht="15" customHeight="1">
      <c r="A343" t="s">
        <v>1975</v>
      </c>
      <c r="B343" t="s">
        <v>1976</v>
      </c>
      <c r="C343" s="710" t="s">
        <v>652</v>
      </c>
      <c r="D343" s="710" t="s">
        <v>28</v>
      </c>
      <c r="E343" s="710"/>
      <c r="F343" s="3"/>
    </row>
    <row r="344" spans="1:6" ht="15" customHeight="1">
      <c r="A344" t="s">
        <v>1977</v>
      </c>
      <c r="B344" t="s">
        <v>1978</v>
      </c>
      <c r="C344" s="710" t="s">
        <v>652</v>
      </c>
      <c r="D344" s="710" t="s">
        <v>28</v>
      </c>
      <c r="E344" s="710"/>
      <c r="F344" s="3"/>
    </row>
    <row r="345" spans="1:6" ht="15" customHeight="1">
      <c r="A345" t="s">
        <v>1979</v>
      </c>
      <c r="B345" t="s">
        <v>1980</v>
      </c>
      <c r="C345" s="710" t="s">
        <v>652</v>
      </c>
      <c r="D345" s="710" t="s">
        <v>56</v>
      </c>
      <c r="E345" s="710"/>
      <c r="F345" s="3"/>
    </row>
    <row r="346" spans="1:6" ht="14.4" customHeight="1">
      <c r="A346" t="s">
        <v>1981</v>
      </c>
      <c r="B346" t="s">
        <v>1982</v>
      </c>
      <c r="C346" s="710" t="s">
        <v>652</v>
      </c>
      <c r="D346" s="710" t="s">
        <v>32</v>
      </c>
      <c r="E346" s="710"/>
      <c r="F346" s="3"/>
    </row>
    <row r="347" spans="1:6" ht="15" customHeight="1">
      <c r="A347" t="s">
        <v>1989</v>
      </c>
      <c r="B347" t="s">
        <v>1990</v>
      </c>
      <c r="C347" s="710" t="s">
        <v>652</v>
      </c>
      <c r="D347" s="710" t="s">
        <v>38</v>
      </c>
      <c r="E347" s="710"/>
      <c r="F347" s="3"/>
    </row>
    <row r="348" spans="1:6" ht="15" customHeight="1">
      <c r="A348" t="s">
        <v>1991</v>
      </c>
      <c r="B348" t="s">
        <v>1992</v>
      </c>
      <c r="C348" s="710" t="s">
        <v>652</v>
      </c>
      <c r="D348" s="710" t="s">
        <v>56</v>
      </c>
      <c r="E348" s="710"/>
      <c r="F348" s="3"/>
    </row>
    <row r="349" spans="1:6" ht="15" customHeight="1">
      <c r="A349" t="s">
        <v>1993</v>
      </c>
      <c r="B349" t="s">
        <v>1994</v>
      </c>
      <c r="C349" s="710" t="s">
        <v>652</v>
      </c>
      <c r="D349" s="710" t="s">
        <v>56</v>
      </c>
      <c r="E349" s="710"/>
      <c r="F349" s="3"/>
    </row>
    <row r="350" spans="1:6" ht="15" customHeight="1">
      <c r="A350" t="s">
        <v>1995</v>
      </c>
      <c r="B350" t="s">
        <v>1996</v>
      </c>
      <c r="C350" s="710" t="s">
        <v>652</v>
      </c>
      <c r="D350" s="710" t="s">
        <v>56</v>
      </c>
      <c r="E350" s="710"/>
      <c r="F350" s="3"/>
    </row>
    <row r="351" spans="1:6" ht="15" customHeight="1">
      <c r="A351" t="s">
        <v>1997</v>
      </c>
      <c r="B351" t="s">
        <v>1998</v>
      </c>
      <c r="C351" s="710" t="s">
        <v>652</v>
      </c>
      <c r="D351" s="710" t="s">
        <v>56</v>
      </c>
      <c r="E351" s="710"/>
      <c r="F351" s="3"/>
    </row>
    <row r="352" spans="1:6" ht="15" customHeight="1">
      <c r="A352" t="s">
        <v>2001</v>
      </c>
      <c r="B352" t="s">
        <v>2002</v>
      </c>
      <c r="C352" s="710" t="s">
        <v>652</v>
      </c>
      <c r="D352" s="710" t="s">
        <v>56</v>
      </c>
      <c r="E352" s="710"/>
      <c r="F352" s="3"/>
    </row>
    <row r="353" spans="1:6" ht="15" customHeight="1">
      <c r="A353" t="s">
        <v>2003</v>
      </c>
      <c r="B353" t="s">
        <v>2004</v>
      </c>
      <c r="C353" s="710" t="s">
        <v>652</v>
      </c>
      <c r="D353" s="710" t="s">
        <v>56</v>
      </c>
      <c r="E353" s="710"/>
      <c r="F353" s="3"/>
    </row>
    <row r="354" spans="1:6" ht="15" customHeight="1">
      <c r="A354" t="s">
        <v>2005</v>
      </c>
      <c r="B354" t="s">
        <v>2006</v>
      </c>
      <c r="C354" s="710" t="s">
        <v>652</v>
      </c>
      <c r="D354" s="710" t="s">
        <v>56</v>
      </c>
      <c r="E354" s="710"/>
      <c r="F354" s="3"/>
    </row>
    <row r="355" spans="1:6" ht="15" customHeight="1">
      <c r="A355" t="s">
        <v>2007</v>
      </c>
      <c r="B355" t="s">
        <v>2008</v>
      </c>
      <c r="C355" s="710" t="s">
        <v>652</v>
      </c>
      <c r="D355" s="710" t="s">
        <v>56</v>
      </c>
      <c r="E355" s="710"/>
      <c r="F355" s="3"/>
    </row>
    <row r="356" spans="1:6" ht="15" customHeight="1">
      <c r="A356" t="s">
        <v>2009</v>
      </c>
      <c r="B356" t="s">
        <v>2010</v>
      </c>
      <c r="C356" s="710" t="s">
        <v>652</v>
      </c>
      <c r="D356" s="710" t="s">
        <v>56</v>
      </c>
      <c r="E356" s="710"/>
      <c r="F356" s="3"/>
    </row>
    <row r="357" spans="1:6" ht="15" customHeight="1">
      <c r="A357" t="s">
        <v>2011</v>
      </c>
      <c r="B357" t="s">
        <v>2012</v>
      </c>
      <c r="C357" s="710" t="s">
        <v>652</v>
      </c>
      <c r="D357" s="710" t="s">
        <v>56</v>
      </c>
      <c r="E357" s="710"/>
      <c r="F357" s="3"/>
    </row>
    <row r="358" spans="1:6" ht="15" customHeight="1">
      <c r="A358" t="s">
        <v>2015</v>
      </c>
      <c r="B358" t="s">
        <v>2016</v>
      </c>
      <c r="C358" s="710"/>
      <c r="D358" s="710"/>
      <c r="E358" s="710"/>
      <c r="F358" s="3"/>
    </row>
    <row r="359" spans="1:6" ht="15" customHeight="1">
      <c r="A359" t="s">
        <v>2017</v>
      </c>
      <c r="B359" t="s">
        <v>2018</v>
      </c>
      <c r="C359" s="710" t="s">
        <v>652</v>
      </c>
      <c r="D359" s="710" t="s">
        <v>70</v>
      </c>
      <c r="E359" s="710"/>
      <c r="F359" s="3"/>
    </row>
    <row r="360" spans="1:6" ht="15" customHeight="1">
      <c r="A360" t="s">
        <v>2019</v>
      </c>
      <c r="B360" t="s">
        <v>2020</v>
      </c>
      <c r="C360" s="710" t="s">
        <v>652</v>
      </c>
      <c r="D360" s="710" t="s">
        <v>70</v>
      </c>
      <c r="E360" s="710"/>
      <c r="F360" s="3"/>
    </row>
    <row r="361" spans="1:6" ht="15" customHeight="1">
      <c r="A361" t="s">
        <v>2021</v>
      </c>
      <c r="B361" t="s">
        <v>2022</v>
      </c>
      <c r="C361" s="710" t="s">
        <v>652</v>
      </c>
      <c r="D361" s="710" t="s">
        <v>70</v>
      </c>
      <c r="E361" s="710"/>
      <c r="F361" s="3"/>
    </row>
    <row r="362" spans="1:6" ht="15" customHeight="1">
      <c r="A362" t="s">
        <v>2023</v>
      </c>
      <c r="B362" t="s">
        <v>2024</v>
      </c>
      <c r="C362" s="710" t="s">
        <v>652</v>
      </c>
      <c r="D362" s="710" t="s">
        <v>71</v>
      </c>
      <c r="E362" s="710"/>
      <c r="F362" s="3"/>
    </row>
    <row r="363" spans="1:6" ht="15" customHeight="1">
      <c r="A363" t="s">
        <v>2025</v>
      </c>
      <c r="B363" t="s">
        <v>2026</v>
      </c>
      <c r="C363" s="710" t="s">
        <v>652</v>
      </c>
      <c r="D363" s="710" t="s">
        <v>70</v>
      </c>
      <c r="E363" s="710"/>
      <c r="F363" s="3"/>
    </row>
    <row r="364" spans="1:6" ht="15" customHeight="1">
      <c r="A364" t="s">
        <v>2027</v>
      </c>
      <c r="B364" t="s">
        <v>2028</v>
      </c>
      <c r="C364" s="710" t="s">
        <v>652</v>
      </c>
      <c r="D364" s="710" t="s">
        <v>66</v>
      </c>
      <c r="E364" s="710"/>
      <c r="F364" s="3"/>
    </row>
    <row r="365" spans="1:6" ht="15" customHeight="1">
      <c r="A365" t="s">
        <v>2029</v>
      </c>
      <c r="B365" t="s">
        <v>2030</v>
      </c>
      <c r="C365" s="710" t="s">
        <v>652</v>
      </c>
      <c r="D365" s="710" t="s">
        <v>72</v>
      </c>
      <c r="E365" s="710"/>
      <c r="F365" s="3"/>
    </row>
    <row r="366" spans="1:6" ht="15" customHeight="1">
      <c r="A366" t="s">
        <v>2031</v>
      </c>
      <c r="B366" t="s">
        <v>647</v>
      </c>
      <c r="C366" s="710" t="s">
        <v>652</v>
      </c>
      <c r="D366" s="710" t="s">
        <v>75</v>
      </c>
      <c r="E366" s="710"/>
      <c r="F366" s="3"/>
    </row>
    <row r="367" spans="1:6" ht="15" customHeight="1">
      <c r="A367" t="s">
        <v>2032</v>
      </c>
      <c r="B367" t="s">
        <v>2033</v>
      </c>
      <c r="C367" s="710"/>
      <c r="D367" s="710"/>
      <c r="E367" s="710"/>
      <c r="F367" s="3"/>
    </row>
    <row r="368" spans="1:6" ht="15" customHeight="1">
      <c r="A368" t="s">
        <v>2034</v>
      </c>
      <c r="B368" t="s">
        <v>2035</v>
      </c>
      <c r="C368" s="710" t="s">
        <v>652</v>
      </c>
      <c r="D368" s="710" t="s">
        <v>78</v>
      </c>
      <c r="E368" s="710"/>
      <c r="F368" s="3"/>
    </row>
    <row r="369" spans="1:6" ht="15" customHeight="1">
      <c r="A369" t="s">
        <v>2036</v>
      </c>
      <c r="B369" t="s">
        <v>2037</v>
      </c>
      <c r="C369" s="710" t="s">
        <v>652</v>
      </c>
      <c r="D369" s="710" t="s">
        <v>21</v>
      </c>
      <c r="E369" s="710"/>
      <c r="F369" s="3"/>
    </row>
    <row r="370" spans="1:6" ht="15" customHeight="1">
      <c r="A370" t="s">
        <v>2038</v>
      </c>
      <c r="B370" t="s">
        <v>2039</v>
      </c>
      <c r="C370" s="710" t="s">
        <v>652</v>
      </c>
      <c r="D370" s="710" t="s">
        <v>78</v>
      </c>
      <c r="E370" s="710"/>
      <c r="F370" s="3"/>
    </row>
    <row r="371" spans="1:6" ht="15" customHeight="1">
      <c r="A371" t="s">
        <v>2040</v>
      </c>
      <c r="B371" t="s">
        <v>2041</v>
      </c>
      <c r="C371" s="710" t="s">
        <v>652</v>
      </c>
      <c r="D371" s="710" t="s">
        <v>78</v>
      </c>
      <c r="E371" s="710"/>
      <c r="F371" s="3"/>
    </row>
    <row r="372" spans="1:6" ht="15" customHeight="1">
      <c r="A372" t="s">
        <v>2042</v>
      </c>
      <c r="B372" t="s">
        <v>2043</v>
      </c>
      <c r="C372" s="710" t="s">
        <v>652</v>
      </c>
      <c r="D372" s="710" t="s">
        <v>29</v>
      </c>
      <c r="E372" s="710"/>
      <c r="F372" s="3"/>
    </row>
    <row r="373" spans="1:6" ht="15" customHeight="1">
      <c r="A373" t="s">
        <v>2046</v>
      </c>
      <c r="B373" t="s">
        <v>2047</v>
      </c>
      <c r="C373" s="710" t="s">
        <v>652</v>
      </c>
      <c r="D373" s="710" t="s">
        <v>39</v>
      </c>
      <c r="E373" s="710"/>
      <c r="F373" s="3"/>
    </row>
    <row r="374" spans="1:6" ht="15" customHeight="1">
      <c r="A374" t="s">
        <v>2048</v>
      </c>
      <c r="B374" t="s">
        <v>2049</v>
      </c>
      <c r="C374" s="710" t="s">
        <v>652</v>
      </c>
      <c r="D374" s="710" t="s">
        <v>39</v>
      </c>
      <c r="E374" s="710"/>
      <c r="F374" s="3"/>
    </row>
    <row r="375" spans="1:6" ht="15" customHeight="1">
      <c r="A375" t="s">
        <v>2050</v>
      </c>
      <c r="B375" t="s">
        <v>2051</v>
      </c>
      <c r="C375" s="710" t="s">
        <v>652</v>
      </c>
      <c r="D375" s="710" t="s">
        <v>31</v>
      </c>
      <c r="E375" s="710"/>
      <c r="F375" s="3"/>
    </row>
    <row r="376" spans="1:6" ht="15" customHeight="1">
      <c r="A376" t="s">
        <v>2052</v>
      </c>
      <c r="B376" t="s">
        <v>2053</v>
      </c>
      <c r="C376" s="710" t="s">
        <v>652</v>
      </c>
      <c r="D376" s="710" t="s">
        <v>37</v>
      </c>
      <c r="E376" s="710"/>
      <c r="F376" s="3"/>
    </row>
    <row r="377" spans="1:6" ht="15" customHeight="1">
      <c r="A377" t="s">
        <v>2054</v>
      </c>
      <c r="B377" t="s">
        <v>2055</v>
      </c>
      <c r="C377" s="710" t="s">
        <v>652</v>
      </c>
      <c r="D377" s="710" t="s">
        <v>37</v>
      </c>
      <c r="E377" s="710"/>
      <c r="F377" s="3"/>
    </row>
    <row r="378" spans="1:6" ht="15" customHeight="1">
      <c r="A378" s="937" t="s">
        <v>2056</v>
      </c>
      <c r="B378" s="937" t="s">
        <v>2057</v>
      </c>
      <c r="C378" s="940" t="s">
        <v>652</v>
      </c>
      <c r="D378" s="940" t="s">
        <v>37</v>
      </c>
      <c r="E378" s="940"/>
      <c r="F378" s="3"/>
    </row>
    <row r="379" spans="1:6" ht="15" customHeight="1">
      <c r="A379" s="937" t="s">
        <v>2058</v>
      </c>
      <c r="B379" s="937" t="s">
        <v>2059</v>
      </c>
      <c r="C379" s="940" t="s">
        <v>652</v>
      </c>
      <c r="D379" s="940" t="s">
        <v>37</v>
      </c>
      <c r="E379" s="940"/>
      <c r="F379" s="3"/>
    </row>
    <row r="380" spans="1:6" ht="15" customHeight="1">
      <c r="A380" t="s">
        <v>2060</v>
      </c>
      <c r="B380" t="s">
        <v>2061</v>
      </c>
      <c r="C380" s="710"/>
      <c r="D380" s="710"/>
      <c r="E380" s="710"/>
      <c r="F380" s="3"/>
    </row>
    <row r="381" spans="1:6" ht="15" customHeight="1">
      <c r="A381" t="s">
        <v>2062</v>
      </c>
      <c r="B381" t="s">
        <v>2063</v>
      </c>
      <c r="C381" s="710" t="s">
        <v>652</v>
      </c>
      <c r="D381" s="710" t="s">
        <v>53</v>
      </c>
      <c r="E381" s="710"/>
      <c r="F381" s="3"/>
    </row>
    <row r="382" spans="1:6" ht="15" customHeight="1">
      <c r="A382" t="s">
        <v>2064</v>
      </c>
      <c r="B382" t="s">
        <v>2065</v>
      </c>
      <c r="C382" s="710" t="s">
        <v>652</v>
      </c>
      <c r="D382" s="710" t="s">
        <v>53</v>
      </c>
      <c r="E382" s="710"/>
      <c r="F382" s="3"/>
    </row>
    <row r="383" spans="1:6" ht="15" customHeight="1">
      <c r="A383" t="s">
        <v>2066</v>
      </c>
      <c r="B383" t="s">
        <v>2067</v>
      </c>
      <c r="C383" s="710" t="s">
        <v>652</v>
      </c>
      <c r="D383" s="710" t="s">
        <v>53</v>
      </c>
      <c r="E383" s="710"/>
      <c r="F383" s="3"/>
    </row>
    <row r="384" spans="1:6" ht="15" customHeight="1">
      <c r="A384" t="s">
        <v>2068</v>
      </c>
      <c r="B384" t="s">
        <v>2069</v>
      </c>
      <c r="C384" s="710" t="s">
        <v>652</v>
      </c>
      <c r="D384" s="710" t="s">
        <v>37</v>
      </c>
      <c r="E384" s="710"/>
      <c r="F384" s="3"/>
    </row>
    <row r="385" spans="1:6" ht="15" customHeight="1">
      <c r="A385" t="s">
        <v>2070</v>
      </c>
      <c r="B385" t="s">
        <v>2071</v>
      </c>
      <c r="C385" s="710" t="s">
        <v>652</v>
      </c>
      <c r="D385" s="710" t="s">
        <v>37</v>
      </c>
      <c r="E385" s="710"/>
      <c r="F385" s="3"/>
    </row>
    <row r="386" spans="1:6" ht="15" customHeight="1">
      <c r="A386" t="s">
        <v>2072</v>
      </c>
      <c r="B386" t="s">
        <v>2073</v>
      </c>
      <c r="C386" s="710" t="s">
        <v>652</v>
      </c>
      <c r="D386" s="710" t="s">
        <v>37</v>
      </c>
      <c r="E386" s="710"/>
      <c r="F386" s="3"/>
    </row>
    <row r="387" spans="1:6" ht="15" customHeight="1">
      <c r="A387" t="s">
        <v>2074</v>
      </c>
      <c r="B387" t="s">
        <v>2075</v>
      </c>
      <c r="C387" s="710" t="s">
        <v>652</v>
      </c>
      <c r="D387" s="710" t="s">
        <v>3137</v>
      </c>
      <c r="E387" s="710"/>
      <c r="F387" s="3"/>
    </row>
    <row r="388" spans="1:6" ht="15" customHeight="1">
      <c r="A388" t="s">
        <v>2078</v>
      </c>
      <c r="B388" t="s">
        <v>2077</v>
      </c>
      <c r="C388" s="710" t="s">
        <v>652</v>
      </c>
      <c r="D388" s="710" t="s">
        <v>35</v>
      </c>
      <c r="E388" s="710"/>
      <c r="F388" s="3"/>
    </row>
    <row r="389" spans="1:6" ht="15" customHeight="1">
      <c r="A389" t="s">
        <v>2081</v>
      </c>
      <c r="B389" t="s">
        <v>2082</v>
      </c>
      <c r="C389" s="710" t="s">
        <v>652</v>
      </c>
      <c r="D389" s="710" t="s">
        <v>43</v>
      </c>
      <c r="E389" s="710"/>
      <c r="F389" s="3"/>
    </row>
    <row r="390" spans="1:6" ht="15" customHeight="1">
      <c r="A390" t="s">
        <v>2083</v>
      </c>
      <c r="B390" t="s">
        <v>2084</v>
      </c>
      <c r="C390" s="710" t="s">
        <v>652</v>
      </c>
      <c r="D390" s="710" t="s">
        <v>45</v>
      </c>
      <c r="E390" s="710"/>
      <c r="F390" s="3"/>
    </row>
    <row r="391" spans="1:6" ht="15" customHeight="1">
      <c r="A391" t="s">
        <v>2087</v>
      </c>
      <c r="B391" t="s">
        <v>1144</v>
      </c>
      <c r="C391" s="710"/>
      <c r="D391" s="710"/>
      <c r="E391" s="710"/>
      <c r="F391" s="3"/>
    </row>
    <row r="392" spans="1:6" ht="15" customHeight="1">
      <c r="A392" t="s">
        <v>2090</v>
      </c>
      <c r="B392" t="s">
        <v>2091</v>
      </c>
      <c r="C392" s="710"/>
      <c r="D392" s="710"/>
      <c r="E392" s="710"/>
      <c r="F392" s="3"/>
    </row>
    <row r="393" spans="1:6" ht="15" customHeight="1">
      <c r="A393" t="s">
        <v>2092</v>
      </c>
      <c r="B393" t="s">
        <v>2093</v>
      </c>
      <c r="C393" s="710" t="s">
        <v>652</v>
      </c>
      <c r="D393" s="710" t="s">
        <v>51</v>
      </c>
      <c r="E393" s="710"/>
      <c r="F393" s="3"/>
    </row>
    <row r="394" spans="1:6" ht="15" customHeight="1">
      <c r="A394" t="s">
        <v>2094</v>
      </c>
      <c r="B394" t="s">
        <v>2095</v>
      </c>
      <c r="C394" s="710" t="s">
        <v>652</v>
      </c>
      <c r="D394" s="710" t="s">
        <v>49</v>
      </c>
      <c r="E394" s="710"/>
      <c r="F394" s="3"/>
    </row>
    <row r="395" spans="1:6" ht="15" customHeight="1">
      <c r="A395" t="s">
        <v>2096</v>
      </c>
      <c r="B395" t="s">
        <v>2097</v>
      </c>
      <c r="C395" s="710" t="s">
        <v>652</v>
      </c>
      <c r="D395" s="710" t="s">
        <v>49</v>
      </c>
      <c r="E395" s="710"/>
      <c r="F395" s="3"/>
    </row>
    <row r="396" spans="1:6" ht="15" customHeight="1">
      <c r="A396" t="s">
        <v>2098</v>
      </c>
      <c r="B396" t="s">
        <v>2099</v>
      </c>
      <c r="C396" s="710"/>
      <c r="D396" s="710"/>
      <c r="E396" s="710"/>
      <c r="F396" s="3"/>
    </row>
    <row r="397" spans="1:6" ht="15" customHeight="1">
      <c r="A397" t="s">
        <v>2102</v>
      </c>
      <c r="B397" t="s">
        <v>2103</v>
      </c>
      <c r="C397" s="710"/>
      <c r="D397" s="710"/>
      <c r="E397" s="710"/>
      <c r="F397" s="3"/>
    </row>
    <row r="398" spans="1:6" ht="15" customHeight="1">
      <c r="A398" t="s">
        <v>2106</v>
      </c>
      <c r="B398" t="s">
        <v>2107</v>
      </c>
      <c r="C398" s="710" t="s">
        <v>652</v>
      </c>
      <c r="D398" s="710" t="s">
        <v>56</v>
      </c>
      <c r="E398" s="710"/>
      <c r="F398" s="3"/>
    </row>
    <row r="399" spans="1:6" ht="15" customHeight="1">
      <c r="A399" t="s">
        <v>2108</v>
      </c>
      <c r="B399" t="s">
        <v>2109</v>
      </c>
      <c r="C399" s="710"/>
      <c r="D399" s="710"/>
      <c r="E399" s="710"/>
      <c r="F399" s="3"/>
    </row>
    <row r="400" spans="1:6" ht="15" customHeight="1">
      <c r="A400" t="s">
        <v>2110</v>
      </c>
      <c r="B400" t="s">
        <v>2111</v>
      </c>
      <c r="C400" s="710" t="s">
        <v>652</v>
      </c>
      <c r="D400" s="710" t="s">
        <v>56</v>
      </c>
      <c r="E400" s="710"/>
      <c r="F400" s="3"/>
    </row>
    <row r="401" spans="1:6" ht="15" customHeight="1">
      <c r="A401" t="s">
        <v>2112</v>
      </c>
      <c r="B401" t="s">
        <v>2113</v>
      </c>
      <c r="C401" s="710"/>
      <c r="D401" s="710"/>
      <c r="E401" s="710"/>
      <c r="F401" s="3"/>
    </row>
    <row r="402" spans="1:6" ht="15" customHeight="1">
      <c r="A402" t="s">
        <v>2116</v>
      </c>
      <c r="B402" t="s">
        <v>2117</v>
      </c>
      <c r="C402" s="710"/>
      <c r="D402" s="710"/>
      <c r="E402" s="710"/>
      <c r="F402" s="3"/>
    </row>
    <row r="403" spans="1:6" ht="15" customHeight="1">
      <c r="A403" t="s">
        <v>2118</v>
      </c>
      <c r="B403" t="s">
        <v>2119</v>
      </c>
      <c r="C403" s="710"/>
      <c r="D403" s="710"/>
      <c r="E403" s="710"/>
      <c r="F403" s="3"/>
    </row>
    <row r="404" spans="1:6" ht="15" customHeight="1">
      <c r="A404" t="s">
        <v>2120</v>
      </c>
      <c r="B404" t="s">
        <v>2121</v>
      </c>
      <c r="C404" s="710"/>
      <c r="D404" s="710"/>
      <c r="E404" s="710"/>
      <c r="F404" s="3"/>
    </row>
    <row r="405" spans="1:6" ht="15" customHeight="1">
      <c r="A405" t="s">
        <v>2122</v>
      </c>
      <c r="B405" t="s">
        <v>2123</v>
      </c>
      <c r="C405" s="710" t="s">
        <v>652</v>
      </c>
      <c r="D405" s="710" t="s">
        <v>51</v>
      </c>
      <c r="E405" s="710"/>
      <c r="F405" s="3"/>
    </row>
    <row r="406" spans="1:6" ht="15" customHeight="1">
      <c r="A406" t="s">
        <v>2124</v>
      </c>
      <c r="B406" t="s">
        <v>2125</v>
      </c>
      <c r="C406" s="710" t="s">
        <v>652</v>
      </c>
      <c r="D406" s="710" t="s">
        <v>31</v>
      </c>
      <c r="E406" s="710"/>
      <c r="F406" s="3"/>
    </row>
    <row r="407" spans="1:6" ht="15" customHeight="1">
      <c r="A407" t="s">
        <v>2126</v>
      </c>
      <c r="B407" t="s">
        <v>2127</v>
      </c>
      <c r="C407" s="710" t="s">
        <v>652</v>
      </c>
      <c r="D407" s="710" t="s">
        <v>31</v>
      </c>
      <c r="E407" s="710"/>
      <c r="F407" s="3"/>
    </row>
    <row r="408" spans="1:6" ht="15" customHeight="1">
      <c r="A408" t="s">
        <v>2128</v>
      </c>
      <c r="B408" t="s">
        <v>2129</v>
      </c>
      <c r="C408" s="710" t="s">
        <v>652</v>
      </c>
      <c r="D408" s="710" t="s">
        <v>31</v>
      </c>
      <c r="E408" s="710"/>
      <c r="F408" s="3"/>
    </row>
    <row r="409" spans="1:6" ht="15" customHeight="1">
      <c r="A409" t="s">
        <v>2130</v>
      </c>
      <c r="B409" t="s">
        <v>2131</v>
      </c>
      <c r="C409" s="710" t="s">
        <v>652</v>
      </c>
      <c r="D409" s="710" t="s">
        <v>31</v>
      </c>
      <c r="E409" s="710"/>
      <c r="F409" s="3"/>
    </row>
    <row r="410" spans="1:6" ht="15" customHeight="1">
      <c r="A410" t="s">
        <v>2132</v>
      </c>
      <c r="B410" t="s">
        <v>1154</v>
      </c>
      <c r="C410" s="710" t="s">
        <v>652</v>
      </c>
      <c r="D410" s="710" t="s">
        <v>33</v>
      </c>
      <c r="E410" s="710"/>
      <c r="F410" s="3"/>
    </row>
    <row r="411" spans="1:6" ht="15" customHeight="1">
      <c r="A411" t="s">
        <v>2133</v>
      </c>
      <c r="B411" t="s">
        <v>1147</v>
      </c>
      <c r="C411" s="710" t="s">
        <v>652</v>
      </c>
      <c r="D411" s="710" t="s">
        <v>49</v>
      </c>
      <c r="E411" s="710"/>
      <c r="F411" s="3"/>
    </row>
    <row r="412" spans="1:6" ht="15" customHeight="1">
      <c r="A412" t="s">
        <v>2134</v>
      </c>
      <c r="B412" t="s">
        <v>2135</v>
      </c>
      <c r="C412" s="710" t="s">
        <v>652</v>
      </c>
      <c r="D412" s="710" t="s">
        <v>49</v>
      </c>
      <c r="E412" s="710"/>
      <c r="F412" s="3"/>
    </row>
    <row r="413" spans="1:6" ht="15" customHeight="1">
      <c r="A413" t="s">
        <v>2136</v>
      </c>
      <c r="B413" t="s">
        <v>2137</v>
      </c>
      <c r="C413" s="710" t="s">
        <v>652</v>
      </c>
      <c r="D413" s="710" t="s">
        <v>37</v>
      </c>
      <c r="E413" s="710"/>
      <c r="F413" s="3"/>
    </row>
    <row r="414" spans="1:6" ht="15" customHeight="1">
      <c r="A414" t="s">
        <v>2138</v>
      </c>
      <c r="B414" t="s">
        <v>2139</v>
      </c>
      <c r="C414" s="710" t="s">
        <v>652</v>
      </c>
      <c r="D414" s="710" t="s">
        <v>37</v>
      </c>
      <c r="E414" s="710"/>
      <c r="F414" s="3"/>
    </row>
    <row r="415" spans="1:6" ht="15" customHeight="1">
      <c r="A415" t="s">
        <v>2140</v>
      </c>
      <c r="B415" t="s">
        <v>2141</v>
      </c>
      <c r="C415" s="710" t="s">
        <v>652</v>
      </c>
      <c r="D415" s="710" t="s">
        <v>37</v>
      </c>
      <c r="E415" s="710"/>
      <c r="F415" s="3"/>
    </row>
    <row r="416" spans="1:6" ht="15" customHeight="1">
      <c r="A416" t="s">
        <v>2142</v>
      </c>
      <c r="B416" t="s">
        <v>2143</v>
      </c>
      <c r="C416" s="710" t="s">
        <v>652</v>
      </c>
      <c r="D416" s="710" t="s">
        <v>37</v>
      </c>
      <c r="E416" s="710"/>
      <c r="F416" s="3"/>
    </row>
    <row r="417" spans="1:6" ht="15" customHeight="1">
      <c r="A417" t="s">
        <v>2144</v>
      </c>
      <c r="B417" t="s">
        <v>2145</v>
      </c>
      <c r="C417" s="710" t="s">
        <v>652</v>
      </c>
      <c r="D417" s="710" t="s">
        <v>37</v>
      </c>
      <c r="E417" s="710"/>
      <c r="F417" s="3"/>
    </row>
    <row r="418" spans="1:6" ht="15" customHeight="1">
      <c r="A418" t="s">
        <v>2146</v>
      </c>
      <c r="B418" t="s">
        <v>2147</v>
      </c>
      <c r="C418" s="710" t="s">
        <v>652</v>
      </c>
      <c r="D418" s="710" t="s">
        <v>39</v>
      </c>
      <c r="E418" s="710"/>
      <c r="F418" s="3"/>
    </row>
    <row r="419" spans="1:6" ht="15" customHeight="1">
      <c r="A419" t="s">
        <v>2148</v>
      </c>
      <c r="B419" t="s">
        <v>2149</v>
      </c>
      <c r="C419" s="710" t="s">
        <v>652</v>
      </c>
      <c r="D419" s="710" t="s">
        <v>53</v>
      </c>
      <c r="E419" s="710"/>
      <c r="F419" s="3"/>
    </row>
    <row r="420" spans="1:6" ht="15" customHeight="1">
      <c r="A420" t="s">
        <v>2150</v>
      </c>
      <c r="B420" t="s">
        <v>2151</v>
      </c>
      <c r="C420" s="710" t="s">
        <v>652</v>
      </c>
      <c r="D420" s="710" t="s">
        <v>49</v>
      </c>
      <c r="E420" s="710"/>
      <c r="F420" s="3"/>
    </row>
    <row r="421" spans="1:6" ht="15" customHeight="1">
      <c r="A421" t="s">
        <v>2152</v>
      </c>
      <c r="B421" t="s">
        <v>2153</v>
      </c>
      <c r="C421" s="710" t="s">
        <v>652</v>
      </c>
      <c r="D421" s="710" t="s">
        <v>53</v>
      </c>
      <c r="E421" s="710"/>
      <c r="F421" s="3"/>
    </row>
    <row r="422" spans="1:6" ht="15" customHeight="1">
      <c r="A422" t="s">
        <v>2154</v>
      </c>
      <c r="B422" t="s">
        <v>2155</v>
      </c>
      <c r="C422" s="710" t="s">
        <v>652</v>
      </c>
      <c r="D422" s="710" t="s">
        <v>53</v>
      </c>
      <c r="E422" s="710"/>
      <c r="F422" s="3"/>
    </row>
    <row r="423" spans="1:6" ht="15" customHeight="1">
      <c r="A423" t="s">
        <v>2156</v>
      </c>
      <c r="B423" t="s">
        <v>2157</v>
      </c>
      <c r="C423" s="710" t="s">
        <v>652</v>
      </c>
      <c r="D423" s="710" t="s">
        <v>53</v>
      </c>
      <c r="E423" s="710"/>
      <c r="F423" s="3"/>
    </row>
    <row r="424" spans="1:6" ht="15" customHeight="1">
      <c r="A424" t="s">
        <v>2158</v>
      </c>
      <c r="B424" t="s">
        <v>2159</v>
      </c>
      <c r="C424" s="710" t="s">
        <v>652</v>
      </c>
      <c r="D424" s="710" t="s">
        <v>53</v>
      </c>
      <c r="E424" s="710"/>
      <c r="F424" s="3"/>
    </row>
    <row r="425" spans="1:6" ht="15" customHeight="1">
      <c r="A425" t="s">
        <v>2160</v>
      </c>
      <c r="B425" t="s">
        <v>2161</v>
      </c>
      <c r="C425" s="710" t="s">
        <v>652</v>
      </c>
      <c r="D425" s="710" t="s">
        <v>39</v>
      </c>
      <c r="E425" s="710"/>
      <c r="F425" s="3"/>
    </row>
    <row r="426" spans="1:6" ht="15" customHeight="1">
      <c r="A426" t="s">
        <v>2162</v>
      </c>
      <c r="B426" t="s">
        <v>2163</v>
      </c>
      <c r="C426" s="710"/>
      <c r="D426" s="710"/>
      <c r="E426" s="710"/>
      <c r="F426" s="3"/>
    </row>
    <row r="427" spans="1:6" ht="15" customHeight="1">
      <c r="A427" t="s">
        <v>2164</v>
      </c>
      <c r="B427" t="s">
        <v>2165</v>
      </c>
      <c r="C427" s="710" t="s">
        <v>652</v>
      </c>
      <c r="D427" s="710" t="s">
        <v>53</v>
      </c>
      <c r="E427" s="710"/>
      <c r="F427" s="3"/>
    </row>
    <row r="428" spans="1:6" ht="15" customHeight="1">
      <c r="A428" t="s">
        <v>2166</v>
      </c>
      <c r="B428" t="s">
        <v>2167</v>
      </c>
      <c r="C428" s="710" t="s">
        <v>652</v>
      </c>
      <c r="D428" s="710" t="s">
        <v>53</v>
      </c>
      <c r="E428" s="710"/>
      <c r="F428" s="3"/>
    </row>
    <row r="429" spans="1:6" ht="15" customHeight="1">
      <c r="A429" t="s">
        <v>2168</v>
      </c>
      <c r="B429" t="s">
        <v>2169</v>
      </c>
      <c r="C429" s="710" t="s">
        <v>652</v>
      </c>
      <c r="D429" s="710" t="s">
        <v>53</v>
      </c>
      <c r="E429" s="710"/>
      <c r="F429" s="3"/>
    </row>
    <row r="430" spans="1:6" ht="15" customHeight="1">
      <c r="A430" t="s">
        <v>2170</v>
      </c>
      <c r="B430" t="s">
        <v>2171</v>
      </c>
      <c r="C430" s="710" t="s">
        <v>652</v>
      </c>
      <c r="D430" s="710" t="s">
        <v>53</v>
      </c>
      <c r="E430" s="710"/>
      <c r="F430" s="3"/>
    </row>
    <row r="431" spans="1:6" ht="15" customHeight="1">
      <c r="A431" t="s">
        <v>2172</v>
      </c>
      <c r="B431" t="s">
        <v>2173</v>
      </c>
      <c r="C431" s="710" t="s">
        <v>652</v>
      </c>
      <c r="D431" s="710" t="s">
        <v>53</v>
      </c>
      <c r="E431" s="710"/>
      <c r="F431" s="3"/>
    </row>
    <row r="432" spans="1:6" ht="15" customHeight="1">
      <c r="A432" t="s">
        <v>2174</v>
      </c>
      <c r="B432" t="s">
        <v>2175</v>
      </c>
      <c r="C432" s="710"/>
      <c r="D432" s="710"/>
      <c r="E432" s="710"/>
      <c r="F432" s="3"/>
    </row>
    <row r="433" spans="1:6" ht="15" customHeight="1">
      <c r="A433" t="s">
        <v>2176</v>
      </c>
      <c r="B433" t="s">
        <v>2177</v>
      </c>
      <c r="C433" s="710"/>
      <c r="D433" s="710"/>
      <c r="E433" s="710"/>
      <c r="F433" s="3"/>
    </row>
    <row r="434" spans="1:6" ht="15" customHeight="1">
      <c r="A434" t="s">
        <v>2178</v>
      </c>
      <c r="B434" t="s">
        <v>2179</v>
      </c>
      <c r="C434" s="710" t="s">
        <v>652</v>
      </c>
      <c r="D434" s="710" t="s">
        <v>53</v>
      </c>
      <c r="E434" s="710"/>
      <c r="F434" s="3"/>
    </row>
    <row r="435" spans="1:6" ht="15" customHeight="1">
      <c r="A435" t="s">
        <v>2182</v>
      </c>
      <c r="B435" t="s">
        <v>2183</v>
      </c>
      <c r="C435" s="710" t="s">
        <v>652</v>
      </c>
      <c r="D435" s="710" t="s">
        <v>61</v>
      </c>
      <c r="E435" s="710"/>
      <c r="F435" s="3"/>
    </row>
    <row r="436" spans="1:6" ht="15" customHeight="1">
      <c r="A436" t="s">
        <v>2184</v>
      </c>
      <c r="B436" t="s">
        <v>2185</v>
      </c>
      <c r="C436" s="710" t="s">
        <v>652</v>
      </c>
      <c r="D436" s="710" t="s">
        <v>22</v>
      </c>
      <c r="E436" s="710"/>
      <c r="F436" s="3"/>
    </row>
    <row r="437" spans="1:6" ht="15" customHeight="1">
      <c r="A437" t="s">
        <v>2186</v>
      </c>
      <c r="B437" t="s">
        <v>2187</v>
      </c>
      <c r="C437" s="710" t="s">
        <v>652</v>
      </c>
      <c r="D437" s="710" t="s">
        <v>56</v>
      </c>
      <c r="E437" s="710"/>
      <c r="F437" s="3"/>
    </row>
    <row r="438" spans="1:6" ht="15" customHeight="1">
      <c r="A438" t="s">
        <v>2188</v>
      </c>
      <c r="B438" t="s">
        <v>2189</v>
      </c>
      <c r="C438" s="710"/>
      <c r="D438" s="710"/>
      <c r="E438" s="710"/>
      <c r="F438" s="3"/>
    </row>
    <row r="439" spans="1:6" ht="15" customHeight="1">
      <c r="A439" t="s">
        <v>2190</v>
      </c>
      <c r="B439" t="s">
        <v>2191</v>
      </c>
      <c r="C439" s="710" t="s">
        <v>652</v>
      </c>
      <c r="D439" s="710" t="s">
        <v>70</v>
      </c>
      <c r="E439" s="710"/>
      <c r="F439" s="3"/>
    </row>
    <row r="440" spans="1:6" ht="15" customHeight="1">
      <c r="A440" t="s">
        <v>2192</v>
      </c>
      <c r="B440" t="s">
        <v>2193</v>
      </c>
      <c r="C440" s="710" t="s">
        <v>652</v>
      </c>
      <c r="D440" s="710" t="s">
        <v>70</v>
      </c>
      <c r="E440" s="710"/>
      <c r="F440" s="3"/>
    </row>
    <row r="441" spans="1:6" ht="15" customHeight="1">
      <c r="A441" t="s">
        <v>2194</v>
      </c>
      <c r="B441" t="s">
        <v>2195</v>
      </c>
      <c r="C441" s="710" t="s">
        <v>652</v>
      </c>
      <c r="D441" s="710" t="s">
        <v>70</v>
      </c>
      <c r="E441" s="710"/>
      <c r="F441" s="3"/>
    </row>
    <row r="442" spans="1:6" ht="15" customHeight="1">
      <c r="A442" t="s">
        <v>2196</v>
      </c>
      <c r="B442" t="s">
        <v>2197</v>
      </c>
      <c r="C442" s="710" t="s">
        <v>652</v>
      </c>
      <c r="D442" s="710" t="s">
        <v>71</v>
      </c>
      <c r="E442" s="710"/>
      <c r="F442" s="3"/>
    </row>
    <row r="443" spans="1:6" ht="15" customHeight="1">
      <c r="A443" t="s">
        <v>2198</v>
      </c>
      <c r="B443" t="s">
        <v>2199</v>
      </c>
      <c r="C443" s="710" t="s">
        <v>652</v>
      </c>
      <c r="D443" s="710" t="s">
        <v>70</v>
      </c>
      <c r="E443" s="710"/>
      <c r="F443" s="3"/>
    </row>
    <row r="444" spans="1:6" ht="15" customHeight="1">
      <c r="A444" t="s">
        <v>2200</v>
      </c>
      <c r="B444" t="s">
        <v>2201</v>
      </c>
      <c r="C444" s="710" t="s">
        <v>652</v>
      </c>
      <c r="D444" s="710" t="s">
        <v>66</v>
      </c>
      <c r="E444" s="710"/>
      <c r="F444" s="3"/>
    </row>
    <row r="445" spans="1:6" ht="15" customHeight="1">
      <c r="A445" t="s">
        <v>2202</v>
      </c>
      <c r="B445" t="s">
        <v>2203</v>
      </c>
      <c r="C445" s="710" t="s">
        <v>652</v>
      </c>
      <c r="D445" s="710" t="s">
        <v>72</v>
      </c>
      <c r="E445" s="710"/>
      <c r="F445" s="3"/>
    </row>
    <row r="446" spans="1:6" ht="15" customHeight="1">
      <c r="A446" t="s">
        <v>2204</v>
      </c>
      <c r="B446" t="s">
        <v>2205</v>
      </c>
      <c r="C446" s="710" t="s">
        <v>652</v>
      </c>
      <c r="D446" s="710" t="s">
        <v>75</v>
      </c>
      <c r="E446" s="710"/>
      <c r="F446" s="3"/>
    </row>
    <row r="447" spans="1:6" ht="15" customHeight="1">
      <c r="A447" t="s">
        <v>2206</v>
      </c>
      <c r="B447" t="s">
        <v>2207</v>
      </c>
      <c r="C447" s="710"/>
      <c r="D447" s="710"/>
      <c r="E447" s="710"/>
      <c r="F447" s="3"/>
    </row>
    <row r="448" spans="1:6" ht="15" customHeight="1">
      <c r="A448" t="s">
        <v>2208</v>
      </c>
      <c r="B448" t="s">
        <v>2209</v>
      </c>
      <c r="C448" s="710" t="s">
        <v>652</v>
      </c>
      <c r="D448" s="710" t="s">
        <v>80</v>
      </c>
      <c r="E448" s="710"/>
      <c r="F448" s="3"/>
    </row>
    <row r="449" spans="1:6" ht="15" customHeight="1">
      <c r="A449" t="s">
        <v>2210</v>
      </c>
      <c r="B449" t="s">
        <v>2211</v>
      </c>
      <c r="C449" s="710" t="s">
        <v>652</v>
      </c>
      <c r="D449" s="710" t="s">
        <v>80</v>
      </c>
      <c r="E449" s="710"/>
      <c r="F449" s="3"/>
    </row>
    <row r="450" spans="1:6" ht="15" customHeight="1">
      <c r="A450" t="s">
        <v>2212</v>
      </c>
      <c r="B450" t="s">
        <v>2213</v>
      </c>
      <c r="C450" s="710" t="s">
        <v>652</v>
      </c>
      <c r="D450" s="710" t="s">
        <v>80</v>
      </c>
      <c r="E450" s="710"/>
      <c r="F450" s="3"/>
    </row>
    <row r="451" spans="1:6" ht="15" customHeight="1">
      <c r="A451" t="s">
        <v>2214</v>
      </c>
      <c r="B451" t="s">
        <v>2215</v>
      </c>
      <c r="C451" s="710" t="s">
        <v>652</v>
      </c>
      <c r="D451" s="710" t="s">
        <v>80</v>
      </c>
      <c r="E451" s="710"/>
      <c r="F451" s="3"/>
    </row>
    <row r="452" spans="1:6" ht="15" customHeight="1">
      <c r="A452" t="s">
        <v>2216</v>
      </c>
      <c r="B452" t="s">
        <v>2217</v>
      </c>
      <c r="C452" s="710" t="s">
        <v>652</v>
      </c>
      <c r="D452" s="710" t="s">
        <v>80</v>
      </c>
      <c r="E452" s="710"/>
      <c r="F452" s="3"/>
    </row>
    <row r="453" spans="1:6" ht="15" customHeight="1">
      <c r="A453" t="s">
        <v>2218</v>
      </c>
      <c r="B453" t="s">
        <v>2219</v>
      </c>
      <c r="C453" s="710" t="s">
        <v>652</v>
      </c>
      <c r="D453" s="710" t="s">
        <v>80</v>
      </c>
      <c r="E453" s="710"/>
      <c r="F453" s="3"/>
    </row>
    <row r="454" spans="1:6" ht="15" customHeight="1">
      <c r="A454" t="s">
        <v>2220</v>
      </c>
      <c r="B454" t="s">
        <v>2221</v>
      </c>
      <c r="C454" s="710" t="s">
        <v>652</v>
      </c>
      <c r="D454" s="710" t="s">
        <v>80</v>
      </c>
      <c r="E454" s="710"/>
      <c r="F454" s="3"/>
    </row>
    <row r="455" spans="1:6" ht="15" customHeight="1">
      <c r="A455" t="s">
        <v>2222</v>
      </c>
      <c r="B455" t="s">
        <v>2223</v>
      </c>
      <c r="C455" s="710" t="s">
        <v>652</v>
      </c>
      <c r="D455" s="710" t="s">
        <v>82</v>
      </c>
      <c r="E455" s="710"/>
      <c r="F455" s="3"/>
    </row>
    <row r="456" spans="1:6" ht="15" customHeight="1">
      <c r="A456" t="s">
        <v>2224</v>
      </c>
      <c r="B456" t="s">
        <v>2225</v>
      </c>
      <c r="C456" s="710"/>
      <c r="D456" s="710"/>
      <c r="E456" s="710"/>
      <c r="F456" s="3"/>
    </row>
    <row r="457" spans="1:6" ht="15" customHeight="1">
      <c r="A457" t="s">
        <v>2228</v>
      </c>
      <c r="B457" t="s">
        <v>2229</v>
      </c>
      <c r="C457" s="710" t="s">
        <v>88</v>
      </c>
      <c r="D457" s="710" t="s">
        <v>93</v>
      </c>
      <c r="E457" s="710" t="s">
        <v>3126</v>
      </c>
      <c r="F457" s="3"/>
    </row>
    <row r="458" spans="1:6" ht="15" customHeight="1">
      <c r="A458" t="s">
        <v>2230</v>
      </c>
      <c r="B458" t="s">
        <v>2231</v>
      </c>
      <c r="C458" s="710" t="s">
        <v>88</v>
      </c>
      <c r="D458" s="710" t="s">
        <v>93</v>
      </c>
      <c r="E458" s="710" t="s">
        <v>3126</v>
      </c>
      <c r="F458" s="3"/>
    </row>
    <row r="459" spans="1:6" ht="15" customHeight="1">
      <c r="A459" t="s">
        <v>2232</v>
      </c>
      <c r="B459" t="s">
        <v>2233</v>
      </c>
      <c r="C459" s="710" t="s">
        <v>88</v>
      </c>
      <c r="D459" s="710" t="s">
        <v>93</v>
      </c>
      <c r="E459" s="710" t="s">
        <v>3126</v>
      </c>
      <c r="F459" s="3"/>
    </row>
    <row r="460" spans="1:6" ht="15" customHeight="1">
      <c r="A460" t="s">
        <v>2234</v>
      </c>
      <c r="B460" t="s">
        <v>2235</v>
      </c>
      <c r="C460" s="710" t="s">
        <v>88</v>
      </c>
      <c r="D460" s="710" t="s">
        <v>93</v>
      </c>
      <c r="E460" s="710" t="s">
        <v>3126</v>
      </c>
      <c r="F460" s="3"/>
    </row>
    <row r="461" spans="1:6" ht="15" customHeight="1">
      <c r="A461" t="s">
        <v>2242</v>
      </c>
      <c r="B461" t="s">
        <v>2243</v>
      </c>
      <c r="C461" s="710" t="s">
        <v>88</v>
      </c>
      <c r="D461" s="710" t="s">
        <v>93</v>
      </c>
      <c r="E461" s="710" t="s">
        <v>3126</v>
      </c>
      <c r="F461" s="3"/>
    </row>
    <row r="462" spans="1:6" ht="15" customHeight="1">
      <c r="A462" t="s">
        <v>2244</v>
      </c>
      <c r="B462" t="s">
        <v>2245</v>
      </c>
      <c r="C462" s="710" t="s">
        <v>88</v>
      </c>
      <c r="D462" s="710" t="s">
        <v>93</v>
      </c>
      <c r="E462" s="710" t="s">
        <v>3126</v>
      </c>
      <c r="F462" s="3"/>
    </row>
    <row r="463" spans="1:6" ht="15" customHeight="1">
      <c r="A463" t="s">
        <v>2248</v>
      </c>
      <c r="B463" t="s">
        <v>2249</v>
      </c>
      <c r="C463" s="710" t="s">
        <v>88</v>
      </c>
      <c r="D463" s="710" t="s">
        <v>93</v>
      </c>
      <c r="E463" s="710" t="s">
        <v>3126</v>
      </c>
      <c r="F463" s="3"/>
    </row>
    <row r="464" spans="1:6" ht="15" customHeight="1">
      <c r="A464" t="s">
        <v>2250</v>
      </c>
      <c r="B464" t="s">
        <v>2251</v>
      </c>
      <c r="C464" s="710" t="s">
        <v>88</v>
      </c>
      <c r="D464" s="710" t="s">
        <v>93</v>
      </c>
      <c r="E464" s="710" t="s">
        <v>3126</v>
      </c>
      <c r="F464" s="3"/>
    </row>
    <row r="465" spans="1:6" ht="15" customHeight="1">
      <c r="A465" t="s">
        <v>2256</v>
      </c>
      <c r="B465" t="s">
        <v>2257</v>
      </c>
      <c r="C465" s="710" t="s">
        <v>88</v>
      </c>
      <c r="D465" s="710" t="s">
        <v>3128</v>
      </c>
      <c r="E465" s="710" t="s">
        <v>3126</v>
      </c>
      <c r="F465" s="3"/>
    </row>
    <row r="466" spans="1:6" ht="15" customHeight="1">
      <c r="A466" t="s">
        <v>2264</v>
      </c>
      <c r="B466" t="s">
        <v>2265</v>
      </c>
      <c r="C466" s="710" t="s">
        <v>88</v>
      </c>
      <c r="D466" s="710" t="s">
        <v>93</v>
      </c>
      <c r="E466" s="710" t="s">
        <v>3126</v>
      </c>
      <c r="F466" s="3"/>
    </row>
    <row r="467" spans="1:6" ht="15" customHeight="1">
      <c r="A467" t="s">
        <v>2268</v>
      </c>
      <c r="B467" t="s">
        <v>2269</v>
      </c>
      <c r="C467" s="710" t="s">
        <v>88</v>
      </c>
      <c r="D467" s="710" t="s">
        <v>93</v>
      </c>
      <c r="E467" s="710" t="s">
        <v>3126</v>
      </c>
      <c r="F467" s="3"/>
    </row>
    <row r="468" spans="1:6" ht="15" customHeight="1">
      <c r="A468" t="s">
        <v>2270</v>
      </c>
      <c r="B468" t="s">
        <v>2271</v>
      </c>
      <c r="C468" s="710" t="s">
        <v>88</v>
      </c>
      <c r="D468" s="710" t="s">
        <v>93</v>
      </c>
      <c r="E468" s="710" t="s">
        <v>3126</v>
      </c>
      <c r="F468" s="3"/>
    </row>
    <row r="469" spans="1:6" ht="15" customHeight="1">
      <c r="A469" t="s">
        <v>2272</v>
      </c>
      <c r="B469" s="706" t="s">
        <v>2273</v>
      </c>
      <c r="C469" s="710"/>
      <c r="D469" s="710"/>
      <c r="E469" s="710"/>
      <c r="F469" s="3"/>
    </row>
    <row r="470" spans="1:6" ht="15" customHeight="1">
      <c r="A470" s="937" t="s">
        <v>2278</v>
      </c>
      <c r="B470" s="937" t="s">
        <v>2279</v>
      </c>
      <c r="C470" s="940"/>
      <c r="D470" s="940"/>
      <c r="E470" s="940"/>
      <c r="F470" s="3"/>
    </row>
    <row r="471" spans="1:6" ht="15" customHeight="1">
      <c r="A471" t="s">
        <v>2292</v>
      </c>
      <c r="B471" t="s">
        <v>2293</v>
      </c>
      <c r="C471" s="710" t="s">
        <v>88</v>
      </c>
      <c r="D471" s="710" t="s">
        <v>94</v>
      </c>
      <c r="E471" s="710" t="s">
        <v>3126</v>
      </c>
      <c r="F471" s="3"/>
    </row>
    <row r="472" spans="1:6" ht="15" customHeight="1">
      <c r="A472" t="s">
        <v>2294</v>
      </c>
      <c r="B472" t="s">
        <v>2295</v>
      </c>
      <c r="C472" s="710" t="s">
        <v>88</v>
      </c>
      <c r="D472" s="710" t="s">
        <v>3128</v>
      </c>
      <c r="E472" s="710" t="s">
        <v>3126</v>
      </c>
      <c r="F472" s="3"/>
    </row>
    <row r="473" spans="1:6" ht="15" customHeight="1">
      <c r="A473" t="s">
        <v>2298</v>
      </c>
      <c r="B473" t="s">
        <v>2299</v>
      </c>
      <c r="C473" s="710" t="s">
        <v>88</v>
      </c>
      <c r="D473" s="710" t="s">
        <v>94</v>
      </c>
      <c r="E473" s="710" t="s">
        <v>3126</v>
      </c>
      <c r="F473" s="3"/>
    </row>
    <row r="474" spans="1:6" ht="15" customHeight="1">
      <c r="A474" s="1048" t="s">
        <v>2300</v>
      </c>
      <c r="B474" s="1048" t="s">
        <v>2301</v>
      </c>
      <c r="C474" s="1049" t="s">
        <v>88</v>
      </c>
      <c r="D474" s="1049" t="s">
        <v>3128</v>
      </c>
      <c r="E474" s="1049" t="s">
        <v>3126</v>
      </c>
      <c r="F474" s="3"/>
    </row>
    <row r="475" spans="1:6" ht="15" customHeight="1">
      <c r="A475" t="s">
        <v>2306</v>
      </c>
      <c r="B475" t="s">
        <v>2307</v>
      </c>
      <c r="C475" s="710" t="s">
        <v>88</v>
      </c>
      <c r="D475" s="710" t="s">
        <v>94</v>
      </c>
      <c r="E475" s="710" t="s">
        <v>3126</v>
      </c>
      <c r="F475" s="3"/>
    </row>
    <row r="476" spans="1:6" ht="15" customHeight="1">
      <c r="A476" t="s">
        <v>2308</v>
      </c>
      <c r="B476" t="s">
        <v>2309</v>
      </c>
      <c r="C476" s="710" t="s">
        <v>88</v>
      </c>
      <c r="D476" s="710" t="s">
        <v>94</v>
      </c>
      <c r="E476" s="710" t="s">
        <v>3126</v>
      </c>
      <c r="F476" s="3"/>
    </row>
    <row r="477" spans="1:6" ht="15" customHeight="1">
      <c r="A477" t="s">
        <v>2310</v>
      </c>
      <c r="B477" t="s">
        <v>2311</v>
      </c>
      <c r="C477" s="710" t="s">
        <v>88</v>
      </c>
      <c r="D477" s="710" t="s">
        <v>94</v>
      </c>
      <c r="E477" s="710" t="s">
        <v>3126</v>
      </c>
      <c r="F477" s="3"/>
    </row>
    <row r="478" spans="1:6" ht="15" customHeight="1">
      <c r="A478" t="s">
        <v>2312</v>
      </c>
      <c r="B478" t="s">
        <v>2313</v>
      </c>
      <c r="C478" s="710" t="s">
        <v>88</v>
      </c>
      <c r="D478" s="710" t="s">
        <v>94</v>
      </c>
      <c r="E478" s="710" t="s">
        <v>3126</v>
      </c>
      <c r="F478" s="3"/>
    </row>
    <row r="479" spans="1:6" ht="15" customHeight="1">
      <c r="A479" t="s">
        <v>2316</v>
      </c>
      <c r="B479" t="s">
        <v>2317</v>
      </c>
      <c r="C479" s="710" t="s">
        <v>88</v>
      </c>
      <c r="D479" s="710" t="s">
        <v>94</v>
      </c>
      <c r="E479" s="710" t="s">
        <v>3126</v>
      </c>
      <c r="F479" s="3"/>
    </row>
    <row r="480" spans="1:6" ht="15" customHeight="1">
      <c r="A480" t="s">
        <v>2318</v>
      </c>
      <c r="B480" t="s">
        <v>2319</v>
      </c>
      <c r="C480" s="710" t="s">
        <v>88</v>
      </c>
      <c r="D480" s="710" t="s">
        <v>94</v>
      </c>
      <c r="E480" s="710" t="s">
        <v>3126</v>
      </c>
      <c r="F480" s="3"/>
    </row>
    <row r="481" spans="1:6" ht="15" customHeight="1">
      <c r="A481" t="s">
        <v>2320</v>
      </c>
      <c r="B481" t="s">
        <v>2321</v>
      </c>
      <c r="C481" s="710" t="s">
        <v>88</v>
      </c>
      <c r="D481" s="710" t="s">
        <v>94</v>
      </c>
      <c r="E481" s="710" t="s">
        <v>3126</v>
      </c>
      <c r="F481" s="3"/>
    </row>
    <row r="482" spans="1:6" ht="15" customHeight="1">
      <c r="A482" t="s">
        <v>2324</v>
      </c>
      <c r="B482" t="s">
        <v>2325</v>
      </c>
      <c r="C482" s="710" t="s">
        <v>88</v>
      </c>
      <c r="D482" s="710" t="s">
        <v>94</v>
      </c>
      <c r="E482" s="710" t="s">
        <v>3126</v>
      </c>
      <c r="F482" s="3"/>
    </row>
    <row r="483" spans="1:6" ht="15" customHeight="1">
      <c r="A483" t="s">
        <v>2326</v>
      </c>
      <c r="B483" t="s">
        <v>2327</v>
      </c>
      <c r="C483" s="710" t="s">
        <v>88</v>
      </c>
      <c r="D483" s="710" t="s">
        <v>94</v>
      </c>
      <c r="E483" s="710" t="s">
        <v>3126</v>
      </c>
      <c r="F483" s="3"/>
    </row>
    <row r="484" spans="1:6" ht="15" customHeight="1">
      <c r="A484" t="s">
        <v>2328</v>
      </c>
      <c r="B484" t="s">
        <v>2329</v>
      </c>
      <c r="C484" s="710" t="s">
        <v>88</v>
      </c>
      <c r="D484" s="710" t="s">
        <v>94</v>
      </c>
      <c r="E484" s="710" t="s">
        <v>3126</v>
      </c>
      <c r="F484" s="3"/>
    </row>
    <row r="485" spans="1:6" ht="15" customHeight="1">
      <c r="A485" t="s">
        <v>2330</v>
      </c>
      <c r="B485" t="s">
        <v>2331</v>
      </c>
      <c r="C485" s="710" t="s">
        <v>88</v>
      </c>
      <c r="D485" s="710" t="s">
        <v>3128</v>
      </c>
      <c r="E485" s="710" t="s">
        <v>3126</v>
      </c>
      <c r="F485" s="3"/>
    </row>
    <row r="486" spans="1:6" ht="15" customHeight="1">
      <c r="A486" t="s">
        <v>2332</v>
      </c>
      <c r="B486" t="s">
        <v>2333</v>
      </c>
      <c r="C486" s="710" t="s">
        <v>88</v>
      </c>
      <c r="D486" s="710" t="s">
        <v>94</v>
      </c>
      <c r="E486" s="710" t="s">
        <v>3126</v>
      </c>
      <c r="F486" s="3"/>
    </row>
    <row r="487" spans="1:6" ht="15" customHeight="1">
      <c r="A487" t="s">
        <v>2336</v>
      </c>
      <c r="B487" t="s">
        <v>2337</v>
      </c>
      <c r="C487" s="710" t="s">
        <v>88</v>
      </c>
      <c r="D487" s="710" t="s">
        <v>94</v>
      </c>
      <c r="E487" s="710" t="s">
        <v>3126</v>
      </c>
      <c r="F487" s="3"/>
    </row>
    <row r="488" spans="1:6" ht="15" customHeight="1">
      <c r="A488" t="s">
        <v>2338</v>
      </c>
      <c r="B488" t="s">
        <v>2339</v>
      </c>
      <c r="C488" s="710" t="s">
        <v>88</v>
      </c>
      <c r="D488" s="710" t="s">
        <v>94</v>
      </c>
      <c r="E488" s="710" t="s">
        <v>3126</v>
      </c>
      <c r="F488" s="3"/>
    </row>
    <row r="489" spans="1:6" ht="15" customHeight="1">
      <c r="A489" t="s">
        <v>2340</v>
      </c>
      <c r="B489" t="s">
        <v>2341</v>
      </c>
      <c r="C489" s="710" t="s">
        <v>88</v>
      </c>
      <c r="D489" s="710" t="s">
        <v>3128</v>
      </c>
      <c r="E489" s="710" t="s">
        <v>3126</v>
      </c>
      <c r="F489" s="3"/>
    </row>
    <row r="490" spans="1:6" ht="15" customHeight="1">
      <c r="A490" t="s">
        <v>2344</v>
      </c>
      <c r="B490" t="s">
        <v>2345</v>
      </c>
      <c r="C490" s="710" t="s">
        <v>88</v>
      </c>
      <c r="D490" s="710" t="s">
        <v>94</v>
      </c>
      <c r="E490" s="710" t="s">
        <v>3126</v>
      </c>
      <c r="F490" s="3"/>
    </row>
    <row r="491" spans="1:6" ht="15" customHeight="1">
      <c r="A491" t="s">
        <v>2346</v>
      </c>
      <c r="B491" t="s">
        <v>2347</v>
      </c>
      <c r="C491" s="710" t="s">
        <v>88</v>
      </c>
      <c r="D491" s="710" t="s">
        <v>94</v>
      </c>
      <c r="E491" s="710" t="s">
        <v>3126</v>
      </c>
      <c r="F491" s="3"/>
    </row>
    <row r="492" spans="1:6" ht="15" customHeight="1">
      <c r="A492" t="s">
        <v>2348</v>
      </c>
      <c r="B492" t="s">
        <v>2349</v>
      </c>
      <c r="C492" s="710" t="s">
        <v>88</v>
      </c>
      <c r="D492" s="710" t="s">
        <v>94</v>
      </c>
      <c r="E492" s="710" t="s">
        <v>3126</v>
      </c>
      <c r="F492" s="3"/>
    </row>
    <row r="493" spans="1:6" ht="15" customHeight="1">
      <c r="A493" t="s">
        <v>2350</v>
      </c>
      <c r="B493" t="s">
        <v>2351</v>
      </c>
      <c r="C493" s="710" t="s">
        <v>88</v>
      </c>
      <c r="D493" s="710" t="s">
        <v>94</v>
      </c>
      <c r="E493" s="710" t="s">
        <v>3126</v>
      </c>
      <c r="F493" s="3"/>
    </row>
    <row r="494" spans="1:6" ht="15" customHeight="1">
      <c r="A494" t="s">
        <v>2352</v>
      </c>
      <c r="B494" t="s">
        <v>2353</v>
      </c>
      <c r="C494" s="710" t="s">
        <v>88</v>
      </c>
      <c r="D494" s="710" t="s">
        <v>3128</v>
      </c>
      <c r="E494" s="710" t="s">
        <v>3126</v>
      </c>
      <c r="F494" s="3"/>
    </row>
    <row r="495" spans="1:6" ht="15" customHeight="1">
      <c r="A495" t="s">
        <v>2356</v>
      </c>
      <c r="B495" t="s">
        <v>2357</v>
      </c>
      <c r="C495" s="710" t="s">
        <v>88</v>
      </c>
      <c r="D495" s="710" t="s">
        <v>94</v>
      </c>
      <c r="E495" s="710" t="s">
        <v>3126</v>
      </c>
      <c r="F495" s="3"/>
    </row>
    <row r="496" spans="1:6" ht="15" customHeight="1">
      <c r="A496" t="s">
        <v>2358</v>
      </c>
      <c r="B496" t="s">
        <v>2359</v>
      </c>
      <c r="C496" s="710" t="s">
        <v>88</v>
      </c>
      <c r="D496" s="710" t="s">
        <v>3128</v>
      </c>
      <c r="E496" s="710" t="s">
        <v>3126</v>
      </c>
      <c r="F496" s="3"/>
    </row>
    <row r="497" spans="1:6" ht="15" customHeight="1">
      <c r="A497" t="s">
        <v>2362</v>
      </c>
      <c r="B497" t="s">
        <v>2363</v>
      </c>
      <c r="C497" s="710" t="s">
        <v>88</v>
      </c>
      <c r="D497" s="710" t="s">
        <v>94</v>
      </c>
      <c r="E497" s="710" t="s">
        <v>3126</v>
      </c>
      <c r="F497" s="3"/>
    </row>
    <row r="498" spans="1:6" ht="15" customHeight="1">
      <c r="A498" t="s">
        <v>2364</v>
      </c>
      <c r="B498" t="s">
        <v>2365</v>
      </c>
      <c r="C498" s="710" t="s">
        <v>88</v>
      </c>
      <c r="D498" s="710" t="s">
        <v>3128</v>
      </c>
      <c r="E498" s="710" t="s">
        <v>3126</v>
      </c>
      <c r="F498" s="3"/>
    </row>
    <row r="499" spans="1:6" ht="15" customHeight="1">
      <c r="A499" t="s">
        <v>2368</v>
      </c>
      <c r="B499" t="s">
        <v>2369</v>
      </c>
      <c r="C499" s="710" t="s">
        <v>88</v>
      </c>
      <c r="D499" s="710" t="s">
        <v>94</v>
      </c>
      <c r="E499" s="710" t="s">
        <v>3126</v>
      </c>
      <c r="F499" s="3"/>
    </row>
    <row r="500" spans="1:6" ht="15" customHeight="1">
      <c r="A500" t="s">
        <v>2370</v>
      </c>
      <c r="B500" t="s">
        <v>2371</v>
      </c>
      <c r="C500" s="710" t="s">
        <v>88</v>
      </c>
      <c r="D500" s="710" t="s">
        <v>94</v>
      </c>
      <c r="E500" s="710" t="s">
        <v>3126</v>
      </c>
      <c r="F500" s="3"/>
    </row>
    <row r="501" spans="1:6" ht="15" customHeight="1">
      <c r="A501" t="s">
        <v>2376</v>
      </c>
      <c r="B501" t="s">
        <v>2377</v>
      </c>
      <c r="C501" s="710" t="s">
        <v>88</v>
      </c>
      <c r="D501" s="710" t="s">
        <v>99</v>
      </c>
      <c r="E501" s="710" t="s">
        <v>3126</v>
      </c>
      <c r="F501" s="3"/>
    </row>
    <row r="502" spans="1:6" ht="15" customHeight="1">
      <c r="A502" t="s">
        <v>2378</v>
      </c>
      <c r="B502" t="s">
        <v>2379</v>
      </c>
      <c r="C502" s="710" t="s">
        <v>88</v>
      </c>
      <c r="D502" s="710" t="s">
        <v>99</v>
      </c>
      <c r="E502" s="710" t="s">
        <v>3126</v>
      </c>
      <c r="F502" s="3"/>
    </row>
    <row r="503" spans="1:6" ht="15" customHeight="1">
      <c r="A503" t="s">
        <v>2380</v>
      </c>
      <c r="B503" t="s">
        <v>2381</v>
      </c>
      <c r="C503" s="710" t="s">
        <v>88</v>
      </c>
      <c r="D503" s="710" t="s">
        <v>102</v>
      </c>
      <c r="E503" s="710" t="s">
        <v>3126</v>
      </c>
      <c r="F503" s="3"/>
    </row>
    <row r="504" spans="1:6" ht="15" customHeight="1">
      <c r="A504" t="s">
        <v>2382</v>
      </c>
      <c r="B504" t="s">
        <v>2383</v>
      </c>
      <c r="C504" s="710" t="s">
        <v>88</v>
      </c>
      <c r="D504" s="710" t="s">
        <v>102</v>
      </c>
      <c r="E504" s="710" t="s">
        <v>3126</v>
      </c>
      <c r="F504" s="3"/>
    </row>
    <row r="505" spans="1:6" ht="15" customHeight="1">
      <c r="A505" t="s">
        <v>2384</v>
      </c>
      <c r="B505" t="s">
        <v>2385</v>
      </c>
      <c r="C505" s="710" t="s">
        <v>88</v>
      </c>
      <c r="D505" s="710" t="s">
        <v>103</v>
      </c>
      <c r="E505" s="710" t="s">
        <v>3126</v>
      </c>
      <c r="F505" s="3"/>
    </row>
    <row r="506" spans="1:6" ht="15" customHeight="1">
      <c r="A506" t="s">
        <v>2386</v>
      </c>
      <c r="B506" t="s">
        <v>2387</v>
      </c>
      <c r="C506" s="710" t="s">
        <v>88</v>
      </c>
      <c r="D506" s="710" t="s">
        <v>103</v>
      </c>
      <c r="E506" s="710" t="s">
        <v>3126</v>
      </c>
      <c r="F506" s="3"/>
    </row>
    <row r="507" spans="1:6" ht="15" customHeight="1">
      <c r="A507" t="s">
        <v>2388</v>
      </c>
      <c r="B507" t="s">
        <v>2389</v>
      </c>
      <c r="C507" s="710" t="s">
        <v>88</v>
      </c>
      <c r="D507" s="710" t="s">
        <v>102</v>
      </c>
      <c r="E507" s="710" t="s">
        <v>3126</v>
      </c>
      <c r="F507" s="3"/>
    </row>
    <row r="508" spans="1:6" ht="15" customHeight="1">
      <c r="A508" t="s">
        <v>2390</v>
      </c>
      <c r="B508" t="s">
        <v>2391</v>
      </c>
      <c r="C508" s="710" t="s">
        <v>88</v>
      </c>
      <c r="D508" s="710" t="s">
        <v>103</v>
      </c>
      <c r="E508" s="710" t="s">
        <v>3126</v>
      </c>
      <c r="F508" s="3"/>
    </row>
    <row r="509" spans="1:6" ht="15" customHeight="1">
      <c r="A509" t="s">
        <v>2392</v>
      </c>
      <c r="B509" t="s">
        <v>2393</v>
      </c>
      <c r="C509" s="710" t="s">
        <v>148</v>
      </c>
      <c r="D509" s="710" t="s">
        <v>149</v>
      </c>
      <c r="E509" s="710" t="s">
        <v>3126</v>
      </c>
      <c r="F509" s="3"/>
    </row>
    <row r="510" spans="1:6" ht="15" customHeight="1">
      <c r="A510" t="s">
        <v>2394</v>
      </c>
      <c r="B510" t="s">
        <v>2395</v>
      </c>
      <c r="C510" s="710" t="s">
        <v>148</v>
      </c>
      <c r="D510" s="710" t="s">
        <v>150</v>
      </c>
      <c r="E510" s="710" t="s">
        <v>3126</v>
      </c>
      <c r="F510" s="3"/>
    </row>
    <row r="511" spans="1:6" ht="15" customHeight="1">
      <c r="A511" t="s">
        <v>2398</v>
      </c>
      <c r="B511" t="s">
        <v>2399</v>
      </c>
      <c r="C511" s="710"/>
      <c r="D511" s="710"/>
      <c r="E511" s="710"/>
      <c r="F511" s="3"/>
    </row>
    <row r="512" spans="1:6" ht="15" customHeight="1">
      <c r="A512" t="s">
        <v>2400</v>
      </c>
      <c r="B512" t="s">
        <v>2401</v>
      </c>
      <c r="C512" s="710"/>
      <c r="D512" s="710"/>
      <c r="E512" s="710"/>
      <c r="F512" s="3"/>
    </row>
    <row r="513" spans="1:6" ht="15" customHeight="1">
      <c r="A513" t="s">
        <v>2402</v>
      </c>
      <c r="B513" t="s">
        <v>2403</v>
      </c>
      <c r="C513" s="710"/>
      <c r="D513" s="710"/>
      <c r="E513" s="710"/>
      <c r="F513" s="3"/>
    </row>
    <row r="514" spans="1:6" ht="15" customHeight="1">
      <c r="A514" t="s">
        <v>2404</v>
      </c>
      <c r="B514" t="s">
        <v>2405</v>
      </c>
      <c r="C514" s="710" t="s">
        <v>148</v>
      </c>
      <c r="D514" s="710" t="s">
        <v>152</v>
      </c>
      <c r="E514" s="710" t="s">
        <v>3126</v>
      </c>
      <c r="F514" s="3"/>
    </row>
    <row r="515" spans="1:6" ht="15" customHeight="1">
      <c r="A515" t="s">
        <v>2406</v>
      </c>
      <c r="B515" t="s">
        <v>2407</v>
      </c>
      <c r="C515" s="710"/>
      <c r="D515" s="710"/>
      <c r="E515" s="710"/>
      <c r="F515" s="3"/>
    </row>
    <row r="516" spans="1:6" ht="15" customHeight="1">
      <c r="A516" s="937" t="s">
        <v>2408</v>
      </c>
      <c r="B516" s="937" t="s">
        <v>2409</v>
      </c>
      <c r="C516" s="940" t="s">
        <v>148</v>
      </c>
      <c r="D516" s="940" t="s">
        <v>152</v>
      </c>
      <c r="E516" s="940" t="s">
        <v>3126</v>
      </c>
      <c r="F516" s="3" t="s">
        <v>3127</v>
      </c>
    </row>
    <row r="517" spans="1:6" ht="15" customHeight="1">
      <c r="A517" t="s">
        <v>2410</v>
      </c>
      <c r="B517" t="s">
        <v>2411</v>
      </c>
      <c r="C517" s="710" t="s">
        <v>148</v>
      </c>
      <c r="D517" s="710" t="s">
        <v>150</v>
      </c>
      <c r="E517" s="710" t="s">
        <v>3126</v>
      </c>
      <c r="F517" s="3"/>
    </row>
    <row r="518" spans="1:6" ht="15" customHeight="1">
      <c r="A518" t="s">
        <v>2414</v>
      </c>
      <c r="B518" t="s">
        <v>2415</v>
      </c>
      <c r="C518" s="710"/>
      <c r="D518" s="710"/>
      <c r="E518" s="710"/>
      <c r="F518" s="3"/>
    </row>
    <row r="519" spans="1:6" ht="15" customHeight="1">
      <c r="A519" t="s">
        <v>2416</v>
      </c>
      <c r="B519" t="s">
        <v>2417</v>
      </c>
      <c r="C519" s="710"/>
      <c r="D519" s="710"/>
      <c r="E519" s="710"/>
      <c r="F519" s="3"/>
    </row>
    <row r="520" spans="1:6" ht="15" customHeight="1">
      <c r="A520" t="s">
        <v>2418</v>
      </c>
      <c r="B520" t="s">
        <v>2419</v>
      </c>
      <c r="C520" s="710"/>
      <c r="D520" s="710"/>
      <c r="E520" s="710"/>
      <c r="F520" s="3"/>
    </row>
    <row r="521" spans="1:6" ht="15" customHeight="1">
      <c r="A521" t="s">
        <v>2420</v>
      </c>
      <c r="B521" t="s">
        <v>2421</v>
      </c>
      <c r="C521" s="710" t="s">
        <v>148</v>
      </c>
      <c r="D521" s="710" t="s">
        <v>152</v>
      </c>
      <c r="E521" s="710" t="s">
        <v>3126</v>
      </c>
      <c r="F521" s="3"/>
    </row>
    <row r="522" spans="1:6" ht="15" customHeight="1">
      <c r="A522" t="s">
        <v>2422</v>
      </c>
      <c r="B522" t="s">
        <v>2423</v>
      </c>
      <c r="C522" s="710" t="s">
        <v>1163</v>
      </c>
      <c r="D522" s="710" t="s">
        <v>1167</v>
      </c>
      <c r="E522" s="710" t="s">
        <v>3126</v>
      </c>
      <c r="F522" s="3"/>
    </row>
    <row r="523" spans="1:6" ht="15" customHeight="1">
      <c r="A523" t="s">
        <v>2424</v>
      </c>
      <c r="B523" t="s">
        <v>2425</v>
      </c>
      <c r="C523" s="710"/>
      <c r="D523" s="710"/>
      <c r="E523" s="710"/>
      <c r="F523" s="3"/>
    </row>
    <row r="524" spans="1:6" ht="15" customHeight="1">
      <c r="A524" t="s">
        <v>2426</v>
      </c>
      <c r="B524" t="s">
        <v>2427</v>
      </c>
      <c r="C524" s="710" t="s">
        <v>148</v>
      </c>
      <c r="D524" s="710" t="s">
        <v>102</v>
      </c>
      <c r="E524" s="710" t="s">
        <v>3126</v>
      </c>
      <c r="F524" s="3"/>
    </row>
    <row r="525" spans="1:6" ht="15" customHeight="1">
      <c r="A525" t="s">
        <v>2428</v>
      </c>
      <c r="B525" s="706" t="s">
        <v>2429</v>
      </c>
      <c r="C525" s="710" t="s">
        <v>148</v>
      </c>
      <c r="D525" s="710" t="s">
        <v>102</v>
      </c>
      <c r="E525" s="710" t="s">
        <v>3126</v>
      </c>
      <c r="F525" s="3"/>
    </row>
    <row r="526" spans="1:6" ht="15" customHeight="1">
      <c r="A526" t="s">
        <v>2430</v>
      </c>
      <c r="B526" t="s">
        <v>2431</v>
      </c>
      <c r="C526" s="710" t="s">
        <v>148</v>
      </c>
      <c r="D526" s="710" t="s">
        <v>102</v>
      </c>
      <c r="E526" s="710" t="s">
        <v>3126</v>
      </c>
      <c r="F526" s="3"/>
    </row>
    <row r="527" spans="1:6" ht="15" customHeight="1">
      <c r="A527" s="943" t="s">
        <v>2432</v>
      </c>
      <c r="B527" s="943" t="s">
        <v>2433</v>
      </c>
      <c r="C527" s="710" t="s">
        <v>1163</v>
      </c>
      <c r="D527" s="710" t="s">
        <v>1165</v>
      </c>
      <c r="E527" s="710" t="s">
        <v>3126</v>
      </c>
      <c r="F527" s="3"/>
    </row>
    <row r="528" spans="1:6" ht="15" customHeight="1">
      <c r="A528" s="943" t="s">
        <v>2434</v>
      </c>
      <c r="B528" s="943" t="s">
        <v>2435</v>
      </c>
      <c r="C528" s="710" t="s">
        <v>1163</v>
      </c>
      <c r="D528" s="710" t="s">
        <v>1165</v>
      </c>
      <c r="E528" s="710" t="s">
        <v>3126</v>
      </c>
      <c r="F528" s="3"/>
    </row>
    <row r="529" spans="1:6" ht="15" customHeight="1">
      <c r="A529" t="s">
        <v>2436</v>
      </c>
      <c r="B529" t="s">
        <v>2437</v>
      </c>
      <c r="C529" s="710" t="s">
        <v>1163</v>
      </c>
      <c r="D529" s="710" t="s">
        <v>1165</v>
      </c>
      <c r="E529" s="710" t="s">
        <v>3126</v>
      </c>
      <c r="F529" s="3"/>
    </row>
    <row r="530" spans="1:6" ht="15" customHeight="1">
      <c r="A530" t="s">
        <v>2438</v>
      </c>
      <c r="B530" t="s">
        <v>2439</v>
      </c>
      <c r="C530" s="710"/>
      <c r="D530" s="710"/>
      <c r="E530" s="710"/>
      <c r="F530" s="3"/>
    </row>
    <row r="531" spans="1:6" ht="15" customHeight="1">
      <c r="A531" t="s">
        <v>2440</v>
      </c>
      <c r="B531" t="s">
        <v>2441</v>
      </c>
      <c r="C531" s="710" t="s">
        <v>1163</v>
      </c>
      <c r="D531" s="710" t="s">
        <v>1166</v>
      </c>
      <c r="E531" s="710" t="s">
        <v>3126</v>
      </c>
      <c r="F531" s="3"/>
    </row>
    <row r="532" spans="1:6" ht="15" customHeight="1">
      <c r="A532" t="s">
        <v>2442</v>
      </c>
      <c r="B532" t="s">
        <v>2443</v>
      </c>
      <c r="C532" s="710" t="s">
        <v>157</v>
      </c>
      <c r="D532" s="710" t="s">
        <v>160</v>
      </c>
      <c r="E532" s="710" t="s">
        <v>3126</v>
      </c>
      <c r="F532" s="3"/>
    </row>
    <row r="533" spans="1:6" ht="15" customHeight="1">
      <c r="A533" s="1048" t="s">
        <v>2444</v>
      </c>
      <c r="B533" s="1048" t="s">
        <v>2445</v>
      </c>
      <c r="C533" s="1049" t="s">
        <v>157</v>
      </c>
      <c r="D533" s="1049" t="s">
        <v>162</v>
      </c>
      <c r="E533" s="1049" t="s">
        <v>3126</v>
      </c>
      <c r="F533" s="3"/>
    </row>
    <row r="534" spans="1:6" ht="15" customHeight="1">
      <c r="A534" s="937" t="s">
        <v>2448</v>
      </c>
      <c r="B534" s="937" t="s">
        <v>2449</v>
      </c>
      <c r="C534" s="940" t="s">
        <v>157</v>
      </c>
      <c r="D534" s="940" t="s">
        <v>160</v>
      </c>
      <c r="E534" s="940" t="s">
        <v>3126</v>
      </c>
      <c r="F534" s="3"/>
    </row>
    <row r="535" spans="1:6" ht="15" customHeight="1">
      <c r="A535" t="s">
        <v>2450</v>
      </c>
      <c r="B535" t="s">
        <v>2451</v>
      </c>
      <c r="C535" s="710" t="s">
        <v>1162</v>
      </c>
      <c r="D535" s="710" t="s">
        <v>1171</v>
      </c>
      <c r="E535" s="710" t="s">
        <v>3126</v>
      </c>
      <c r="F535" s="3"/>
    </row>
    <row r="536" spans="1:6" ht="15" customHeight="1">
      <c r="A536" t="s">
        <v>2452</v>
      </c>
      <c r="B536" t="s">
        <v>2453</v>
      </c>
      <c r="C536" s="710" t="s">
        <v>1162</v>
      </c>
      <c r="D536" s="710" t="s">
        <v>1169</v>
      </c>
      <c r="E536" s="710" t="s">
        <v>3126</v>
      </c>
      <c r="F536" s="3"/>
    </row>
    <row r="537" spans="1:6" ht="15" customHeight="1">
      <c r="A537" t="s">
        <v>2454</v>
      </c>
      <c r="B537" s="706" t="s">
        <v>2455</v>
      </c>
      <c r="C537" s="710" t="s">
        <v>1162</v>
      </c>
      <c r="D537" s="710" t="s">
        <v>1170</v>
      </c>
      <c r="E537" s="710" t="s">
        <v>3126</v>
      </c>
      <c r="F537" s="3"/>
    </row>
    <row r="538" spans="1:6" ht="15" customHeight="1">
      <c r="A538" t="s">
        <v>2456</v>
      </c>
      <c r="B538" t="s">
        <v>2457</v>
      </c>
      <c r="C538" s="710" t="s">
        <v>157</v>
      </c>
      <c r="D538" s="710" t="s">
        <v>162</v>
      </c>
      <c r="E538" s="710" t="s">
        <v>3126</v>
      </c>
      <c r="F538" s="3"/>
    </row>
    <row r="539" spans="1:6" ht="15" customHeight="1">
      <c r="A539" t="s">
        <v>2458</v>
      </c>
      <c r="B539" t="s">
        <v>2459</v>
      </c>
      <c r="C539" s="710" t="s">
        <v>157</v>
      </c>
      <c r="D539" s="710" t="s">
        <v>163</v>
      </c>
      <c r="E539" s="710" t="s">
        <v>3126</v>
      </c>
      <c r="F539" s="3"/>
    </row>
    <row r="540" spans="1:6" ht="15" customHeight="1">
      <c r="A540" t="s">
        <v>2460</v>
      </c>
      <c r="B540" t="s">
        <v>2461</v>
      </c>
      <c r="C540" s="710" t="s">
        <v>1162</v>
      </c>
      <c r="D540" s="710" t="s">
        <v>1169</v>
      </c>
      <c r="E540" s="710" t="s">
        <v>3126</v>
      </c>
      <c r="F540" s="3"/>
    </row>
    <row r="541" spans="1:6" ht="15" customHeight="1">
      <c r="A541" t="s">
        <v>2462</v>
      </c>
      <c r="B541" t="s">
        <v>2463</v>
      </c>
      <c r="C541" s="710" t="s">
        <v>157</v>
      </c>
      <c r="D541" s="710" t="s">
        <v>163</v>
      </c>
      <c r="E541" s="710" t="s">
        <v>3126</v>
      </c>
      <c r="F541" s="3"/>
    </row>
    <row r="542" spans="1:6" ht="15" customHeight="1">
      <c r="A542" t="s">
        <v>2466</v>
      </c>
      <c r="B542" t="s">
        <v>2467</v>
      </c>
      <c r="C542" s="710"/>
      <c r="D542" s="710"/>
      <c r="E542" s="710"/>
      <c r="F542" s="3"/>
    </row>
    <row r="543" spans="1:6" ht="15" customHeight="1">
      <c r="A543" t="s">
        <v>2468</v>
      </c>
      <c r="B543" t="s">
        <v>2469</v>
      </c>
      <c r="C543" s="710" t="s">
        <v>157</v>
      </c>
      <c r="D543" s="710" t="s">
        <v>168</v>
      </c>
      <c r="E543" s="710" t="s">
        <v>3126</v>
      </c>
      <c r="F543" s="3"/>
    </row>
    <row r="544" spans="1:6" ht="15" customHeight="1">
      <c r="A544" t="s">
        <v>2470</v>
      </c>
      <c r="B544" t="s">
        <v>3134</v>
      </c>
      <c r="C544" s="710" t="s">
        <v>1162</v>
      </c>
      <c r="D544" s="710" t="s">
        <v>1169</v>
      </c>
      <c r="E544" s="710" t="s">
        <v>3126</v>
      </c>
      <c r="F544" s="3"/>
    </row>
    <row r="545" spans="1:6" ht="15" customHeight="1">
      <c r="A545" t="s">
        <v>2474</v>
      </c>
      <c r="B545" t="s">
        <v>2475</v>
      </c>
      <c r="C545" s="710" t="s">
        <v>176</v>
      </c>
      <c r="D545" s="710" t="s">
        <v>178</v>
      </c>
      <c r="E545" s="710" t="s">
        <v>3126</v>
      </c>
      <c r="F545" s="3"/>
    </row>
    <row r="546" spans="1:6" ht="15" customHeight="1">
      <c r="A546" t="s">
        <v>2476</v>
      </c>
      <c r="B546" t="s">
        <v>2477</v>
      </c>
      <c r="C546" s="710" t="s">
        <v>176</v>
      </c>
      <c r="D546" s="710" t="s">
        <v>178</v>
      </c>
      <c r="E546" s="710" t="s">
        <v>3126</v>
      </c>
      <c r="F546" s="3"/>
    </row>
    <row r="547" spans="1:6" ht="15" customHeight="1">
      <c r="A547" t="s">
        <v>2478</v>
      </c>
      <c r="B547" t="s">
        <v>2479</v>
      </c>
      <c r="C547" s="710"/>
      <c r="D547" s="710"/>
      <c r="E547" s="710"/>
      <c r="F547" s="3"/>
    </row>
    <row r="548" spans="1:6" ht="15" customHeight="1">
      <c r="A548" t="s">
        <v>2480</v>
      </c>
      <c r="B548" t="s">
        <v>2481</v>
      </c>
      <c r="C548" s="710"/>
      <c r="D548" s="710"/>
      <c r="E548" s="710"/>
      <c r="F548" s="3"/>
    </row>
    <row r="549" spans="1:6" ht="15" customHeight="1">
      <c r="A549" t="s">
        <v>2482</v>
      </c>
      <c r="B549" t="s">
        <v>2483</v>
      </c>
      <c r="C549" s="710"/>
      <c r="D549" s="710"/>
      <c r="E549" s="710"/>
      <c r="F549" s="3"/>
    </row>
    <row r="550" spans="1:6" ht="15" customHeight="1">
      <c r="A550" t="s">
        <v>2486</v>
      </c>
      <c r="B550" t="s">
        <v>2487</v>
      </c>
      <c r="C550" s="710" t="s">
        <v>157</v>
      </c>
      <c r="D550" s="710" t="s">
        <v>168</v>
      </c>
      <c r="E550" s="710" t="s">
        <v>3126</v>
      </c>
      <c r="F550" s="3"/>
    </row>
    <row r="551" spans="1:6" ht="15" customHeight="1">
      <c r="A551" t="s">
        <v>2488</v>
      </c>
      <c r="B551" t="s">
        <v>2489</v>
      </c>
      <c r="C551" s="710" t="s">
        <v>172</v>
      </c>
      <c r="D551" s="710" t="s">
        <v>1174</v>
      </c>
      <c r="E551" s="710" t="s">
        <v>3126</v>
      </c>
      <c r="F551" s="3"/>
    </row>
    <row r="552" spans="1:6" ht="15" customHeight="1">
      <c r="A552" t="s">
        <v>2490</v>
      </c>
      <c r="B552" t="s">
        <v>2491</v>
      </c>
      <c r="C552" s="710" t="s">
        <v>172</v>
      </c>
      <c r="D552" s="710" t="s">
        <v>1173</v>
      </c>
      <c r="E552" s="710" t="s">
        <v>3126</v>
      </c>
      <c r="F552" s="3"/>
    </row>
    <row r="553" spans="1:6" ht="15" customHeight="1">
      <c r="A553" t="s">
        <v>2492</v>
      </c>
      <c r="B553" t="s">
        <v>2493</v>
      </c>
      <c r="C553" s="710" t="s">
        <v>172</v>
      </c>
      <c r="D553" s="710" t="s">
        <v>1174</v>
      </c>
      <c r="E553" s="710" t="s">
        <v>3126</v>
      </c>
      <c r="F553" s="3"/>
    </row>
    <row r="554" spans="1:6" ht="15" customHeight="1">
      <c r="A554" t="s">
        <v>2494</v>
      </c>
      <c r="B554" t="s">
        <v>2495</v>
      </c>
      <c r="C554" s="710" t="s">
        <v>172</v>
      </c>
      <c r="D554" s="710" t="s">
        <v>1173</v>
      </c>
      <c r="E554" s="710" t="s">
        <v>3126</v>
      </c>
      <c r="F554" s="3"/>
    </row>
    <row r="555" spans="1:6" ht="15" customHeight="1">
      <c r="A555" t="s">
        <v>2496</v>
      </c>
      <c r="B555" t="s">
        <v>2497</v>
      </c>
      <c r="C555" s="710" t="s">
        <v>172</v>
      </c>
      <c r="D555" s="710" t="s">
        <v>1174</v>
      </c>
      <c r="E555" s="710" t="s">
        <v>3126</v>
      </c>
      <c r="F555" s="3"/>
    </row>
    <row r="556" spans="1:6" ht="15" customHeight="1">
      <c r="A556" t="s">
        <v>2498</v>
      </c>
      <c r="B556" t="s">
        <v>2499</v>
      </c>
      <c r="C556" s="710" t="s">
        <v>172</v>
      </c>
      <c r="D556" s="710" t="s">
        <v>1173</v>
      </c>
      <c r="E556" s="710" t="s">
        <v>3126</v>
      </c>
      <c r="F556" s="3"/>
    </row>
    <row r="557" spans="1:6" ht="15" customHeight="1">
      <c r="A557" t="s">
        <v>2500</v>
      </c>
      <c r="B557" t="s">
        <v>2501</v>
      </c>
      <c r="C557" s="710" t="s">
        <v>172</v>
      </c>
      <c r="D557" s="710" t="s">
        <v>1173</v>
      </c>
      <c r="E557" s="710" t="s">
        <v>3126</v>
      </c>
      <c r="F557" s="3"/>
    </row>
    <row r="558" spans="1:6" ht="15" customHeight="1">
      <c r="A558" t="s">
        <v>2502</v>
      </c>
      <c r="B558" t="s">
        <v>2503</v>
      </c>
      <c r="C558" s="710" t="s">
        <v>172</v>
      </c>
      <c r="D558" s="710" t="s">
        <v>1172</v>
      </c>
      <c r="E558" s="710" t="s">
        <v>3126</v>
      </c>
      <c r="F558" s="3"/>
    </row>
    <row r="559" spans="1:6" ht="15" customHeight="1">
      <c r="A559" t="s">
        <v>2504</v>
      </c>
      <c r="B559" t="s">
        <v>2505</v>
      </c>
      <c r="C559" s="710" t="s">
        <v>172</v>
      </c>
      <c r="D559" s="710" t="s">
        <v>1172</v>
      </c>
      <c r="E559" s="710" t="s">
        <v>3126</v>
      </c>
      <c r="F559" s="3"/>
    </row>
    <row r="560" spans="1:6" ht="15" customHeight="1">
      <c r="A560" t="s">
        <v>2506</v>
      </c>
      <c r="B560" t="s">
        <v>2507</v>
      </c>
      <c r="C560" s="710" t="s">
        <v>172</v>
      </c>
      <c r="D560" s="710" t="s">
        <v>1172</v>
      </c>
      <c r="E560" s="710" t="s">
        <v>3126</v>
      </c>
      <c r="F560" s="3"/>
    </row>
    <row r="561" spans="1:6" ht="15" customHeight="1">
      <c r="A561" t="s">
        <v>2508</v>
      </c>
      <c r="B561" t="s">
        <v>2509</v>
      </c>
      <c r="C561" s="710" t="s">
        <v>172</v>
      </c>
      <c r="D561" s="710" t="s">
        <v>1172</v>
      </c>
      <c r="E561" s="710" t="s">
        <v>3126</v>
      </c>
      <c r="F561" s="3"/>
    </row>
    <row r="562" spans="1:6" ht="15" customHeight="1">
      <c r="A562" t="s">
        <v>2510</v>
      </c>
      <c r="B562" t="s">
        <v>2511</v>
      </c>
      <c r="C562" s="710" t="s">
        <v>172</v>
      </c>
      <c r="D562" s="710" t="s">
        <v>1175</v>
      </c>
      <c r="E562" s="710" t="s">
        <v>3126</v>
      </c>
      <c r="F562" s="3"/>
    </row>
    <row r="563" spans="1:6" ht="15" customHeight="1">
      <c r="A563" t="s">
        <v>2512</v>
      </c>
      <c r="B563" t="s">
        <v>2513</v>
      </c>
      <c r="C563" s="710" t="s">
        <v>172</v>
      </c>
      <c r="D563" s="710" t="s">
        <v>1174</v>
      </c>
      <c r="E563" s="710" t="s">
        <v>3126</v>
      </c>
      <c r="F563" s="3"/>
    </row>
    <row r="564" spans="1:6" ht="15" customHeight="1">
      <c r="A564" t="s">
        <v>2514</v>
      </c>
      <c r="B564" t="s">
        <v>2515</v>
      </c>
      <c r="C564" s="710" t="s">
        <v>172</v>
      </c>
      <c r="D564" s="710" t="s">
        <v>1172</v>
      </c>
      <c r="E564" s="710" t="s">
        <v>3126</v>
      </c>
      <c r="F564" s="3"/>
    </row>
    <row r="565" spans="1:6" ht="15" customHeight="1">
      <c r="A565" t="s">
        <v>2516</v>
      </c>
      <c r="B565" t="s">
        <v>2517</v>
      </c>
      <c r="C565" s="710" t="s">
        <v>172</v>
      </c>
      <c r="D565" s="710" t="s">
        <v>1173</v>
      </c>
      <c r="E565" s="710" t="s">
        <v>3126</v>
      </c>
      <c r="F565" s="3"/>
    </row>
    <row r="566" spans="1:6" ht="15" customHeight="1">
      <c r="A566" t="s">
        <v>2518</v>
      </c>
      <c r="B566" t="s">
        <v>2519</v>
      </c>
      <c r="C566" s="710" t="s">
        <v>172</v>
      </c>
      <c r="D566" s="710" t="s">
        <v>1174</v>
      </c>
      <c r="E566" s="710" t="s">
        <v>3126</v>
      </c>
      <c r="F566" s="3"/>
    </row>
    <row r="567" spans="1:6" ht="15" customHeight="1">
      <c r="A567" t="s">
        <v>2520</v>
      </c>
      <c r="B567" t="s">
        <v>2521</v>
      </c>
      <c r="C567" s="710" t="s">
        <v>172</v>
      </c>
      <c r="D567" s="710" t="s">
        <v>1172</v>
      </c>
      <c r="E567" s="710" t="s">
        <v>3126</v>
      </c>
      <c r="F567" s="3"/>
    </row>
    <row r="568" spans="1:6" ht="15" customHeight="1">
      <c r="A568" t="s">
        <v>2522</v>
      </c>
      <c r="B568" t="s">
        <v>2523</v>
      </c>
      <c r="C568" s="710" t="s">
        <v>172</v>
      </c>
      <c r="D568" s="710" t="s">
        <v>1173</v>
      </c>
      <c r="E568" s="710" t="s">
        <v>3126</v>
      </c>
      <c r="F568" s="3"/>
    </row>
    <row r="569" spans="1:6" ht="15" customHeight="1">
      <c r="A569" s="1048" t="s">
        <v>2524</v>
      </c>
      <c r="B569" s="1048" t="s">
        <v>2525</v>
      </c>
      <c r="C569" s="1049" t="s">
        <v>172</v>
      </c>
      <c r="D569" s="1049" t="s">
        <v>1174</v>
      </c>
      <c r="E569" s="1049" t="s">
        <v>3126</v>
      </c>
      <c r="F569" s="3"/>
    </row>
    <row r="570" spans="1:6" ht="15" customHeight="1">
      <c r="A570" t="s">
        <v>2526</v>
      </c>
      <c r="B570" t="s">
        <v>2527</v>
      </c>
      <c r="C570" s="710"/>
      <c r="D570" s="710"/>
      <c r="E570" s="710"/>
      <c r="F570" s="3"/>
    </row>
    <row r="571" spans="1:6" ht="15" customHeight="1">
      <c r="A571" t="s">
        <v>2528</v>
      </c>
      <c r="B571" t="s">
        <v>2529</v>
      </c>
      <c r="C571" s="710"/>
      <c r="D571" s="710"/>
      <c r="E571" s="710"/>
      <c r="F571" s="3"/>
    </row>
    <row r="572" spans="1:6" ht="15" customHeight="1">
      <c r="A572" t="s">
        <v>2530</v>
      </c>
      <c r="B572" t="s">
        <v>2531</v>
      </c>
      <c r="C572" s="710" t="s">
        <v>176</v>
      </c>
      <c r="D572" s="710" t="s">
        <v>179</v>
      </c>
      <c r="E572" s="710" t="s">
        <v>3126</v>
      </c>
      <c r="F572" s="3"/>
    </row>
    <row r="573" spans="1:6" ht="15" customHeight="1">
      <c r="A573" t="s">
        <v>2532</v>
      </c>
      <c r="B573" t="s">
        <v>2533</v>
      </c>
      <c r="C573" s="710"/>
      <c r="D573" s="710"/>
      <c r="E573" s="710"/>
      <c r="F573" s="3"/>
    </row>
    <row r="574" spans="1:6" ht="15" customHeight="1">
      <c r="A574" t="s">
        <v>2534</v>
      </c>
      <c r="B574" t="s">
        <v>2535</v>
      </c>
      <c r="C574" s="710"/>
      <c r="D574" s="710"/>
      <c r="E574" s="710"/>
      <c r="F574" s="3"/>
    </row>
    <row r="575" spans="1:6" ht="15" customHeight="1">
      <c r="A575" t="s">
        <v>2536</v>
      </c>
      <c r="B575" t="s">
        <v>2537</v>
      </c>
      <c r="C575" s="710" t="s">
        <v>172</v>
      </c>
      <c r="D575" s="710" t="s">
        <v>1174</v>
      </c>
      <c r="E575" s="710" t="s">
        <v>3126</v>
      </c>
      <c r="F575" s="3"/>
    </row>
    <row r="576" spans="1:6" ht="15" customHeight="1">
      <c r="A576" t="s">
        <v>2538</v>
      </c>
      <c r="B576" t="s">
        <v>2539</v>
      </c>
      <c r="C576" s="710" t="s">
        <v>172</v>
      </c>
      <c r="D576" s="710" t="s">
        <v>1172</v>
      </c>
      <c r="E576" s="710" t="s">
        <v>3126</v>
      </c>
      <c r="F576" s="3"/>
    </row>
    <row r="577" spans="1:6" ht="15" customHeight="1">
      <c r="A577" t="s">
        <v>2540</v>
      </c>
      <c r="B577" t="s">
        <v>2541</v>
      </c>
      <c r="C577" s="710" t="s">
        <v>172</v>
      </c>
      <c r="D577" s="710" t="s">
        <v>1173</v>
      </c>
      <c r="E577" s="710" t="s">
        <v>3126</v>
      </c>
      <c r="F577" s="3"/>
    </row>
    <row r="578" spans="1:6" ht="15" customHeight="1">
      <c r="A578" t="s">
        <v>2542</v>
      </c>
      <c r="B578" t="s">
        <v>2543</v>
      </c>
      <c r="C578" s="710" t="s">
        <v>172</v>
      </c>
      <c r="D578" s="710" t="s">
        <v>1174</v>
      </c>
      <c r="E578" s="710" t="s">
        <v>3126</v>
      </c>
      <c r="F578" s="3"/>
    </row>
    <row r="579" spans="1:6" ht="15" customHeight="1">
      <c r="A579" t="s">
        <v>2544</v>
      </c>
      <c r="B579" t="s">
        <v>2545</v>
      </c>
      <c r="C579" s="710" t="s">
        <v>172</v>
      </c>
      <c r="D579" s="710" t="s">
        <v>1172</v>
      </c>
      <c r="E579" s="710" t="s">
        <v>3126</v>
      </c>
      <c r="F579" s="3"/>
    </row>
    <row r="580" spans="1:6" ht="15" customHeight="1">
      <c r="A580" t="s">
        <v>2546</v>
      </c>
      <c r="B580" t="s">
        <v>2547</v>
      </c>
      <c r="C580" s="710" t="s">
        <v>172</v>
      </c>
      <c r="D580" s="710" t="s">
        <v>1173</v>
      </c>
      <c r="E580" s="710" t="s">
        <v>3126</v>
      </c>
      <c r="F580" s="3"/>
    </row>
    <row r="581" spans="1:6" ht="15" customHeight="1">
      <c r="A581" t="s">
        <v>2548</v>
      </c>
      <c r="B581" t="s">
        <v>2549</v>
      </c>
      <c r="C581" s="710" t="s">
        <v>176</v>
      </c>
      <c r="D581" s="710" t="s">
        <v>180</v>
      </c>
      <c r="E581" s="710" t="s">
        <v>3126</v>
      </c>
      <c r="F581" s="3"/>
    </row>
    <row r="582" spans="1:6" ht="15" customHeight="1">
      <c r="A582" t="s">
        <v>2550</v>
      </c>
      <c r="B582" t="s">
        <v>2551</v>
      </c>
      <c r="C582" s="710" t="s">
        <v>176</v>
      </c>
      <c r="D582" s="710" t="s">
        <v>180</v>
      </c>
      <c r="E582" s="710" t="s">
        <v>3126</v>
      </c>
      <c r="F582" s="3"/>
    </row>
    <row r="583" spans="1:6" ht="15" customHeight="1">
      <c r="A583" t="s">
        <v>2552</v>
      </c>
      <c r="B583" t="s">
        <v>2553</v>
      </c>
      <c r="C583" s="710" t="s">
        <v>176</v>
      </c>
      <c r="D583" s="710" t="s">
        <v>181</v>
      </c>
      <c r="E583" s="710" t="s">
        <v>3126</v>
      </c>
      <c r="F583" s="3"/>
    </row>
    <row r="584" spans="1:6" ht="15" customHeight="1">
      <c r="A584" t="s">
        <v>2554</v>
      </c>
      <c r="B584" t="s">
        <v>2555</v>
      </c>
      <c r="C584" s="710" t="s">
        <v>176</v>
      </c>
      <c r="D584" s="710" t="s">
        <v>181</v>
      </c>
      <c r="E584" s="710" t="s">
        <v>3126</v>
      </c>
      <c r="F584" s="3"/>
    </row>
    <row r="585" spans="1:6" ht="15" customHeight="1">
      <c r="A585" t="s">
        <v>2556</v>
      </c>
      <c r="B585" t="s">
        <v>2557</v>
      </c>
      <c r="C585" s="710" t="s">
        <v>176</v>
      </c>
      <c r="D585" s="710" t="s">
        <v>182</v>
      </c>
      <c r="E585" s="710" t="s">
        <v>3126</v>
      </c>
      <c r="F585" s="3"/>
    </row>
    <row r="586" spans="1:6" ht="15" customHeight="1">
      <c r="A586" t="s">
        <v>2558</v>
      </c>
      <c r="B586" t="s">
        <v>2559</v>
      </c>
      <c r="C586" s="710" t="s">
        <v>176</v>
      </c>
      <c r="D586" s="710" t="s">
        <v>183</v>
      </c>
      <c r="E586" s="710" t="s">
        <v>3126</v>
      </c>
      <c r="F586" s="3"/>
    </row>
    <row r="587" spans="1:6" ht="15" customHeight="1">
      <c r="A587" t="s">
        <v>2560</v>
      </c>
      <c r="B587" t="s">
        <v>2561</v>
      </c>
      <c r="C587" s="710"/>
      <c r="D587" s="710"/>
      <c r="E587" s="710"/>
      <c r="F587" s="3"/>
    </row>
    <row r="588" spans="1:6" ht="15" customHeight="1">
      <c r="A588" t="s">
        <v>2562</v>
      </c>
      <c r="B588" t="s">
        <v>2563</v>
      </c>
      <c r="C588" s="710"/>
      <c r="D588" s="710"/>
      <c r="E588" s="710"/>
      <c r="F588" s="3"/>
    </row>
    <row r="589" spans="1:6" ht="15" customHeight="1">
      <c r="A589" t="s">
        <v>2564</v>
      </c>
      <c r="B589" t="s">
        <v>2565</v>
      </c>
      <c r="C589" s="710" t="s">
        <v>176</v>
      </c>
      <c r="D589" s="710" t="s">
        <v>187</v>
      </c>
      <c r="E589" s="710" t="s">
        <v>3126</v>
      </c>
      <c r="F589" s="3"/>
    </row>
    <row r="590" spans="1:6" ht="15" customHeight="1">
      <c r="A590" t="s">
        <v>2566</v>
      </c>
      <c r="B590" t="s">
        <v>2567</v>
      </c>
      <c r="C590" s="710" t="s">
        <v>176</v>
      </c>
      <c r="D590" s="710" t="s">
        <v>188</v>
      </c>
      <c r="E590" s="710" t="s">
        <v>3126</v>
      </c>
      <c r="F590" s="3"/>
    </row>
    <row r="591" spans="1:6" ht="15" customHeight="1">
      <c r="A591" t="s">
        <v>2568</v>
      </c>
      <c r="B591" t="s">
        <v>2569</v>
      </c>
      <c r="C591" s="710" t="s">
        <v>157</v>
      </c>
      <c r="D591" s="710" t="s">
        <v>127</v>
      </c>
      <c r="E591" s="710"/>
      <c r="F591" s="3"/>
    </row>
    <row r="592" spans="1:6" ht="15" customHeight="1">
      <c r="A592" t="s">
        <v>2570</v>
      </c>
      <c r="B592" t="s">
        <v>2571</v>
      </c>
      <c r="C592" s="710" t="s">
        <v>172</v>
      </c>
      <c r="D592" s="710" t="s">
        <v>127</v>
      </c>
      <c r="E592" s="710"/>
      <c r="F592" s="3"/>
    </row>
    <row r="593" spans="1:6" ht="15" customHeight="1">
      <c r="A593" t="s">
        <v>2596</v>
      </c>
      <c r="B593" t="s">
        <v>2597</v>
      </c>
      <c r="C593" s="710"/>
      <c r="D593" s="710"/>
      <c r="E593" s="710"/>
      <c r="F593" s="3"/>
    </row>
    <row r="594" spans="1:6" ht="15" customHeight="1">
      <c r="A594" t="s">
        <v>2602</v>
      </c>
      <c r="B594" t="s">
        <v>2603</v>
      </c>
      <c r="C594" s="710"/>
      <c r="D594" s="710"/>
      <c r="E594" s="710"/>
      <c r="F594" s="3"/>
    </row>
    <row r="595" spans="1:6" ht="15" customHeight="1">
      <c r="A595" t="s">
        <v>2620</v>
      </c>
      <c r="B595" t="s">
        <v>2621</v>
      </c>
      <c r="C595" s="710" t="s">
        <v>88</v>
      </c>
      <c r="D595" s="710" t="s">
        <v>93</v>
      </c>
      <c r="E595" s="710"/>
      <c r="F595" s="3"/>
    </row>
    <row r="596" spans="1:6" ht="15" customHeight="1">
      <c r="A596" t="s">
        <v>2622</v>
      </c>
      <c r="B596" t="s">
        <v>2623</v>
      </c>
      <c r="C596" s="710" t="s">
        <v>88</v>
      </c>
      <c r="D596" s="710" t="s">
        <v>93</v>
      </c>
      <c r="E596" s="710"/>
      <c r="F596" s="3"/>
    </row>
    <row r="597" spans="1:6" ht="15" customHeight="1">
      <c r="A597" t="s">
        <v>2624</v>
      </c>
      <c r="B597" t="s">
        <v>2625</v>
      </c>
      <c r="C597" s="710" t="s">
        <v>88</v>
      </c>
      <c r="D597" s="710" t="s">
        <v>93</v>
      </c>
      <c r="E597" s="710"/>
      <c r="F597" s="3"/>
    </row>
    <row r="598" spans="1:6" ht="15" customHeight="1">
      <c r="A598" t="s">
        <v>2626</v>
      </c>
      <c r="B598" t="s">
        <v>2627</v>
      </c>
      <c r="C598" s="710" t="s">
        <v>88</v>
      </c>
      <c r="D598" s="710" t="s">
        <v>93</v>
      </c>
      <c r="E598" s="710"/>
      <c r="F598" s="3"/>
    </row>
    <row r="599" spans="1:6" ht="15" customHeight="1">
      <c r="A599" t="s">
        <v>2636</v>
      </c>
      <c r="B599" t="s">
        <v>2637</v>
      </c>
      <c r="C599" s="710" t="s">
        <v>88</v>
      </c>
      <c r="D599" s="710" t="s">
        <v>93</v>
      </c>
      <c r="E599" s="710"/>
      <c r="F599" s="3"/>
    </row>
    <row r="600" spans="1:6" ht="15" customHeight="1">
      <c r="A600" t="s">
        <v>2638</v>
      </c>
      <c r="B600" t="s">
        <v>2639</v>
      </c>
      <c r="C600" s="710" t="s">
        <v>88</v>
      </c>
      <c r="D600" s="710" t="s">
        <v>93</v>
      </c>
      <c r="E600" s="710"/>
      <c r="F600" s="3"/>
    </row>
    <row r="601" spans="1:6" ht="15" customHeight="1">
      <c r="A601" t="s">
        <v>2642</v>
      </c>
      <c r="B601" t="s">
        <v>2643</v>
      </c>
      <c r="C601" s="710" t="s">
        <v>88</v>
      </c>
      <c r="D601" s="710" t="s">
        <v>93</v>
      </c>
      <c r="E601" s="710"/>
      <c r="F601" s="3"/>
    </row>
    <row r="602" spans="1:6" ht="15" customHeight="1">
      <c r="A602" t="s">
        <v>2644</v>
      </c>
      <c r="B602" t="s">
        <v>2645</v>
      </c>
      <c r="C602" s="710" t="s">
        <v>88</v>
      </c>
      <c r="D602" s="710" t="s">
        <v>93</v>
      </c>
      <c r="E602" s="710"/>
      <c r="F602" s="3"/>
    </row>
    <row r="603" spans="1:6" ht="15" customHeight="1">
      <c r="A603" t="s">
        <v>2650</v>
      </c>
      <c r="B603" t="s">
        <v>2651</v>
      </c>
      <c r="C603" s="710" t="s">
        <v>88</v>
      </c>
      <c r="D603" s="710" t="s">
        <v>3128</v>
      </c>
      <c r="E603" s="710"/>
      <c r="F603" s="3"/>
    </row>
    <row r="604" spans="1:6" ht="15" customHeight="1">
      <c r="A604" t="s">
        <v>2658</v>
      </c>
      <c r="B604" t="s">
        <v>2659</v>
      </c>
      <c r="C604" s="710" t="s">
        <v>88</v>
      </c>
      <c r="D604" s="710" t="s">
        <v>93</v>
      </c>
      <c r="E604" s="710"/>
      <c r="F604" s="3"/>
    </row>
    <row r="605" spans="1:6" ht="15" customHeight="1">
      <c r="A605" t="s">
        <v>2662</v>
      </c>
      <c r="B605" t="s">
        <v>2663</v>
      </c>
      <c r="C605" s="710" t="s">
        <v>88</v>
      </c>
      <c r="D605" s="710" t="s">
        <v>93</v>
      </c>
      <c r="E605" s="710"/>
      <c r="F605" s="3"/>
    </row>
    <row r="606" spans="1:6" ht="15" customHeight="1">
      <c r="A606" t="s">
        <v>2664</v>
      </c>
      <c r="B606" t="s">
        <v>2665</v>
      </c>
      <c r="C606" s="710" t="s">
        <v>88</v>
      </c>
      <c r="D606" s="710" t="s">
        <v>93</v>
      </c>
      <c r="E606" s="710"/>
      <c r="F606" s="3"/>
    </row>
    <row r="607" spans="1:6" ht="15" customHeight="1">
      <c r="A607" t="s">
        <v>2666</v>
      </c>
      <c r="B607" t="s">
        <v>2667</v>
      </c>
      <c r="C607" s="710"/>
      <c r="D607" s="710"/>
      <c r="E607" s="710"/>
      <c r="F607" s="3"/>
    </row>
    <row r="608" spans="1:6" ht="15" customHeight="1">
      <c r="A608" t="s">
        <v>2672</v>
      </c>
      <c r="B608" t="s">
        <v>2673</v>
      </c>
      <c r="C608" s="710"/>
      <c r="D608" s="710"/>
      <c r="E608" s="710"/>
      <c r="F608" s="3"/>
    </row>
    <row r="609" spans="1:6" ht="15" customHeight="1">
      <c r="A609" t="s">
        <v>2686</v>
      </c>
      <c r="B609" t="s">
        <v>2687</v>
      </c>
      <c r="C609" s="710" t="s">
        <v>88</v>
      </c>
      <c r="D609" s="710" t="s">
        <v>94</v>
      </c>
      <c r="E609" s="710"/>
      <c r="F609" s="3"/>
    </row>
    <row r="610" spans="1:6" ht="15" customHeight="1">
      <c r="A610" t="s">
        <v>2688</v>
      </c>
      <c r="B610" t="s">
        <v>2689</v>
      </c>
      <c r="C610" s="710" t="s">
        <v>88</v>
      </c>
      <c r="D610" s="710" t="s">
        <v>3128</v>
      </c>
      <c r="E610" s="710"/>
      <c r="F610" s="3"/>
    </row>
    <row r="611" spans="1:6" ht="15" customHeight="1">
      <c r="A611" t="s">
        <v>2692</v>
      </c>
      <c r="B611" t="s">
        <v>2693</v>
      </c>
      <c r="C611" s="710" t="s">
        <v>88</v>
      </c>
      <c r="D611" s="710" t="s">
        <v>94</v>
      </c>
      <c r="E611" s="710"/>
      <c r="F611" s="3"/>
    </row>
    <row r="612" spans="1:6" ht="15" customHeight="1">
      <c r="A612" s="1048" t="s">
        <v>2694</v>
      </c>
      <c r="B612" s="1048" t="s">
        <v>2695</v>
      </c>
      <c r="C612" s="1049" t="s">
        <v>88</v>
      </c>
      <c r="D612" s="1049" t="s">
        <v>3128</v>
      </c>
      <c r="E612" s="1049"/>
      <c r="F612" s="3"/>
    </row>
    <row r="613" spans="1:6" ht="15" customHeight="1">
      <c r="A613" t="s">
        <v>2700</v>
      </c>
      <c r="B613" t="s">
        <v>2701</v>
      </c>
      <c r="C613" s="710" t="s">
        <v>88</v>
      </c>
      <c r="D613" s="710" t="s">
        <v>94</v>
      </c>
      <c r="E613" s="710"/>
      <c r="F613" s="3"/>
    </row>
    <row r="614" spans="1:6" ht="15" customHeight="1">
      <c r="A614" t="s">
        <v>2702</v>
      </c>
      <c r="B614" t="s">
        <v>2631</v>
      </c>
      <c r="C614" s="710" t="s">
        <v>88</v>
      </c>
      <c r="D614" s="710" t="s">
        <v>94</v>
      </c>
      <c r="E614" s="710"/>
      <c r="F614" s="3"/>
    </row>
    <row r="615" spans="1:6" ht="15" customHeight="1">
      <c r="A615" t="s">
        <v>2703</v>
      </c>
      <c r="B615" t="s">
        <v>2704</v>
      </c>
      <c r="C615" s="710" t="s">
        <v>88</v>
      </c>
      <c r="D615" s="710" t="s">
        <v>94</v>
      </c>
      <c r="E615" s="710"/>
      <c r="F615" s="3"/>
    </row>
    <row r="616" spans="1:6" ht="15" customHeight="1">
      <c r="A616" t="s">
        <v>2705</v>
      </c>
      <c r="B616" t="s">
        <v>2706</v>
      </c>
      <c r="C616" s="710" t="s">
        <v>88</v>
      </c>
      <c r="D616" s="710" t="s">
        <v>94</v>
      </c>
      <c r="E616" s="710"/>
      <c r="F616" s="3"/>
    </row>
    <row r="617" spans="1:6" ht="15" customHeight="1">
      <c r="A617" t="s">
        <v>2709</v>
      </c>
      <c r="B617" t="s">
        <v>2710</v>
      </c>
      <c r="C617" s="710" t="s">
        <v>88</v>
      </c>
      <c r="D617" s="710" t="s">
        <v>94</v>
      </c>
      <c r="E617" s="710"/>
      <c r="F617" s="3"/>
    </row>
    <row r="618" spans="1:6" ht="15" customHeight="1">
      <c r="A618" t="s">
        <v>2711</v>
      </c>
      <c r="B618" t="s">
        <v>2712</v>
      </c>
      <c r="C618" s="710" t="s">
        <v>88</v>
      </c>
      <c r="D618" s="710" t="s">
        <v>94</v>
      </c>
      <c r="E618" s="710"/>
      <c r="F618" s="3"/>
    </row>
    <row r="619" spans="1:6" ht="15" customHeight="1">
      <c r="A619" t="s">
        <v>2713</v>
      </c>
      <c r="B619" t="s">
        <v>2714</v>
      </c>
      <c r="C619" s="710" t="s">
        <v>88</v>
      </c>
      <c r="D619" s="710" t="s">
        <v>94</v>
      </c>
      <c r="E619" s="710"/>
      <c r="F619" s="3"/>
    </row>
    <row r="620" spans="1:6" ht="15" customHeight="1">
      <c r="A620" t="s">
        <v>2717</v>
      </c>
      <c r="B620" t="s">
        <v>2718</v>
      </c>
      <c r="C620" s="710" t="s">
        <v>88</v>
      </c>
      <c r="D620" s="710" t="s">
        <v>94</v>
      </c>
      <c r="E620" s="710"/>
      <c r="F620" s="3"/>
    </row>
    <row r="621" spans="1:6" ht="15" customHeight="1">
      <c r="A621" t="s">
        <v>2719</v>
      </c>
      <c r="B621" t="s">
        <v>2720</v>
      </c>
      <c r="C621" s="710" t="s">
        <v>88</v>
      </c>
      <c r="D621" s="710" t="s">
        <v>94</v>
      </c>
      <c r="E621" s="710"/>
      <c r="F621" s="3"/>
    </row>
    <row r="622" spans="1:6" ht="15" customHeight="1">
      <c r="A622" t="s">
        <v>2721</v>
      </c>
      <c r="B622" t="s">
        <v>2722</v>
      </c>
      <c r="C622" s="710" t="s">
        <v>88</v>
      </c>
      <c r="D622" s="710" t="s">
        <v>94</v>
      </c>
      <c r="E622" s="710"/>
      <c r="F622" s="3"/>
    </row>
    <row r="623" spans="1:6" ht="15" customHeight="1">
      <c r="A623" t="s">
        <v>2723</v>
      </c>
      <c r="B623" t="s">
        <v>2724</v>
      </c>
      <c r="C623" s="710" t="s">
        <v>88</v>
      </c>
      <c r="D623" s="710" t="s">
        <v>3128</v>
      </c>
      <c r="E623" s="710"/>
      <c r="F623" s="3"/>
    </row>
    <row r="624" spans="1:6" ht="15" customHeight="1">
      <c r="A624" t="s">
        <v>2725</v>
      </c>
      <c r="B624" t="s">
        <v>2726</v>
      </c>
      <c r="C624" s="710" t="s">
        <v>88</v>
      </c>
      <c r="D624" s="710" t="s">
        <v>94</v>
      </c>
      <c r="E624" s="710"/>
      <c r="F624" s="3"/>
    </row>
    <row r="625" spans="1:6" ht="15" customHeight="1">
      <c r="A625" t="s">
        <v>2729</v>
      </c>
      <c r="B625" t="s">
        <v>2730</v>
      </c>
      <c r="C625" s="710" t="s">
        <v>88</v>
      </c>
      <c r="D625" s="710" t="s">
        <v>94</v>
      </c>
      <c r="E625" s="710"/>
      <c r="F625" s="3"/>
    </row>
    <row r="626" spans="1:6" ht="15" customHeight="1">
      <c r="A626" t="s">
        <v>2731</v>
      </c>
      <c r="B626" t="s">
        <v>2732</v>
      </c>
      <c r="C626" s="710" t="s">
        <v>88</v>
      </c>
      <c r="D626" s="710" t="s">
        <v>94</v>
      </c>
      <c r="E626" s="710"/>
      <c r="F626" s="3"/>
    </row>
    <row r="627" spans="1:6" ht="15" customHeight="1">
      <c r="A627" t="s">
        <v>2733</v>
      </c>
      <c r="B627" t="s">
        <v>2734</v>
      </c>
      <c r="C627" s="710" t="s">
        <v>88</v>
      </c>
      <c r="D627" s="710" t="s">
        <v>3128</v>
      </c>
      <c r="E627" s="710"/>
      <c r="F627" s="3"/>
    </row>
    <row r="628" spans="1:6" ht="15" customHeight="1">
      <c r="A628" t="s">
        <v>2737</v>
      </c>
      <c r="B628" t="s">
        <v>2738</v>
      </c>
      <c r="C628" s="710" t="s">
        <v>88</v>
      </c>
      <c r="D628" s="710" t="s">
        <v>94</v>
      </c>
      <c r="E628" s="710"/>
      <c r="F628" s="3"/>
    </row>
    <row r="629" spans="1:6" ht="15" customHeight="1">
      <c r="A629" t="s">
        <v>2739</v>
      </c>
      <c r="B629" t="s">
        <v>2740</v>
      </c>
      <c r="C629" s="710" t="s">
        <v>88</v>
      </c>
      <c r="D629" s="710" t="s">
        <v>94</v>
      </c>
      <c r="E629" s="710"/>
      <c r="F629" s="3"/>
    </row>
    <row r="630" spans="1:6" ht="15" customHeight="1">
      <c r="A630" t="s">
        <v>2741</v>
      </c>
      <c r="B630" t="s">
        <v>2742</v>
      </c>
      <c r="C630" s="710" t="s">
        <v>88</v>
      </c>
      <c r="D630" s="710" t="s">
        <v>94</v>
      </c>
      <c r="E630" s="710"/>
      <c r="F630" s="3"/>
    </row>
    <row r="631" spans="1:6" ht="15" customHeight="1">
      <c r="A631" t="s">
        <v>2743</v>
      </c>
      <c r="B631" t="s">
        <v>2744</v>
      </c>
      <c r="C631" s="710" t="s">
        <v>88</v>
      </c>
      <c r="D631" s="710" t="s">
        <v>94</v>
      </c>
      <c r="E631" s="710"/>
      <c r="F631" s="3"/>
    </row>
    <row r="632" spans="1:6" ht="15" customHeight="1">
      <c r="A632" t="s">
        <v>2745</v>
      </c>
      <c r="B632" t="s">
        <v>2746</v>
      </c>
      <c r="C632" s="710" t="s">
        <v>88</v>
      </c>
      <c r="D632" s="710" t="s">
        <v>3128</v>
      </c>
      <c r="E632" s="710"/>
      <c r="F632" s="3"/>
    </row>
    <row r="633" spans="1:6" ht="15" customHeight="1">
      <c r="A633" t="s">
        <v>2749</v>
      </c>
      <c r="B633" t="s">
        <v>2750</v>
      </c>
      <c r="C633" s="710" t="s">
        <v>88</v>
      </c>
      <c r="D633" s="710" t="s">
        <v>94</v>
      </c>
      <c r="E633" s="710"/>
      <c r="F633" s="3"/>
    </row>
    <row r="634" spans="1:6" ht="15" customHeight="1">
      <c r="A634" t="s">
        <v>2751</v>
      </c>
      <c r="B634" t="s">
        <v>2752</v>
      </c>
      <c r="C634" s="710" t="s">
        <v>88</v>
      </c>
      <c r="D634" s="710" t="s">
        <v>3128</v>
      </c>
      <c r="E634" s="710"/>
      <c r="F634" s="3"/>
    </row>
    <row r="635" spans="1:6" ht="15" customHeight="1">
      <c r="A635" t="s">
        <v>2755</v>
      </c>
      <c r="B635" t="s">
        <v>2756</v>
      </c>
      <c r="C635" s="710" t="s">
        <v>88</v>
      </c>
      <c r="D635" s="710" t="s">
        <v>94</v>
      </c>
      <c r="E635" s="710"/>
      <c r="F635" s="3"/>
    </row>
    <row r="636" spans="1:6" ht="15" customHeight="1">
      <c r="A636" t="s">
        <v>2757</v>
      </c>
      <c r="B636" t="s">
        <v>2758</v>
      </c>
      <c r="C636" s="710" t="s">
        <v>88</v>
      </c>
      <c r="D636" s="710" t="s">
        <v>3128</v>
      </c>
      <c r="E636" s="710"/>
      <c r="F636" s="3"/>
    </row>
    <row r="637" spans="1:6" ht="15" customHeight="1">
      <c r="A637" t="s">
        <v>2761</v>
      </c>
      <c r="B637" t="s">
        <v>2762</v>
      </c>
      <c r="C637" s="710" t="s">
        <v>88</v>
      </c>
      <c r="D637" s="710" t="s">
        <v>94</v>
      </c>
      <c r="E637" s="710"/>
      <c r="F637" s="3"/>
    </row>
    <row r="638" spans="1:6" ht="15" customHeight="1">
      <c r="A638" t="s">
        <v>2763</v>
      </c>
      <c r="B638" t="s">
        <v>2764</v>
      </c>
      <c r="C638" s="710" t="s">
        <v>88</v>
      </c>
      <c r="D638" s="710" t="s">
        <v>94</v>
      </c>
      <c r="E638" s="710"/>
      <c r="F638" s="3"/>
    </row>
    <row r="639" spans="1:6" ht="15" customHeight="1">
      <c r="A639" t="s">
        <v>2769</v>
      </c>
      <c r="B639" t="s">
        <v>2770</v>
      </c>
      <c r="C639" s="710" t="s">
        <v>88</v>
      </c>
      <c r="D639" s="710" t="s">
        <v>99</v>
      </c>
      <c r="E639" s="710"/>
      <c r="F639" s="3"/>
    </row>
    <row r="640" spans="1:6" ht="15" customHeight="1">
      <c r="A640" t="s">
        <v>2771</v>
      </c>
      <c r="B640" t="s">
        <v>2772</v>
      </c>
      <c r="C640" s="710" t="s">
        <v>88</v>
      </c>
      <c r="D640" s="710" t="s">
        <v>99</v>
      </c>
      <c r="E640" s="710"/>
      <c r="F640" s="3"/>
    </row>
    <row r="641" spans="1:6" ht="15" customHeight="1">
      <c r="A641" t="s">
        <v>2773</v>
      </c>
      <c r="B641" t="s">
        <v>2774</v>
      </c>
      <c r="C641" s="710" t="s">
        <v>88</v>
      </c>
      <c r="D641" s="710" t="s">
        <v>102</v>
      </c>
      <c r="E641" s="710"/>
      <c r="F641" s="3"/>
    </row>
    <row r="642" spans="1:6" ht="15" customHeight="1">
      <c r="A642" t="s">
        <v>2775</v>
      </c>
      <c r="B642" t="s">
        <v>2776</v>
      </c>
      <c r="C642" s="710" t="s">
        <v>88</v>
      </c>
      <c r="D642" s="710" t="s">
        <v>102</v>
      </c>
      <c r="E642" s="710"/>
      <c r="F642" s="3"/>
    </row>
    <row r="643" spans="1:6" ht="15" customHeight="1">
      <c r="A643" t="s">
        <v>2777</v>
      </c>
      <c r="B643" t="s">
        <v>2778</v>
      </c>
      <c r="C643" s="710" t="s">
        <v>88</v>
      </c>
      <c r="D643" s="710" t="s">
        <v>103</v>
      </c>
      <c r="E643" s="710"/>
      <c r="F643" s="3"/>
    </row>
    <row r="644" spans="1:6" ht="15" customHeight="1">
      <c r="A644" t="s">
        <v>2779</v>
      </c>
      <c r="B644" t="s">
        <v>2387</v>
      </c>
      <c r="C644" s="710" t="s">
        <v>88</v>
      </c>
      <c r="D644" s="710" t="s">
        <v>103</v>
      </c>
      <c r="E644" s="710"/>
      <c r="F644" s="3"/>
    </row>
    <row r="645" spans="1:6" ht="15" customHeight="1">
      <c r="A645" t="s">
        <v>2780</v>
      </c>
      <c r="B645" t="s">
        <v>2781</v>
      </c>
      <c r="C645" s="710" t="s">
        <v>88</v>
      </c>
      <c r="D645" s="710" t="s">
        <v>102</v>
      </c>
      <c r="E645" s="710"/>
      <c r="F645" s="3"/>
    </row>
    <row r="646" spans="1:6" ht="15" customHeight="1">
      <c r="A646" t="s">
        <v>2782</v>
      </c>
      <c r="B646" t="s">
        <v>2783</v>
      </c>
      <c r="C646" s="710" t="s">
        <v>88</v>
      </c>
      <c r="D646" s="710" t="s">
        <v>103</v>
      </c>
      <c r="E646" s="710"/>
      <c r="F646" s="3"/>
    </row>
    <row r="647" spans="1:6" ht="15" customHeight="1">
      <c r="A647" t="s">
        <v>2784</v>
      </c>
      <c r="B647" t="s">
        <v>2785</v>
      </c>
      <c r="C647" s="710" t="s">
        <v>148</v>
      </c>
      <c r="D647" s="710" t="s">
        <v>149</v>
      </c>
      <c r="E647" s="710"/>
      <c r="F647" s="3"/>
    </row>
    <row r="648" spans="1:6" ht="15" customHeight="1">
      <c r="A648" t="s">
        <v>2786</v>
      </c>
      <c r="B648" t="s">
        <v>2787</v>
      </c>
      <c r="C648" s="710" t="s">
        <v>148</v>
      </c>
      <c r="D648" s="710" t="s">
        <v>150</v>
      </c>
      <c r="E648" s="710"/>
      <c r="F648" s="3"/>
    </row>
    <row r="649" spans="1:6" ht="15" customHeight="1">
      <c r="A649" t="s">
        <v>2788</v>
      </c>
      <c r="B649" t="s">
        <v>2789</v>
      </c>
      <c r="C649" s="710" t="s">
        <v>148</v>
      </c>
      <c r="D649" s="710" t="s">
        <v>149</v>
      </c>
      <c r="E649" s="710"/>
      <c r="F649" s="3"/>
    </row>
    <row r="650" spans="1:6" ht="15" customHeight="1">
      <c r="A650" t="s">
        <v>2790</v>
      </c>
      <c r="B650" t="s">
        <v>2791</v>
      </c>
      <c r="C650" s="710"/>
      <c r="D650" s="710"/>
      <c r="E650" s="710"/>
      <c r="F650" s="3"/>
    </row>
    <row r="651" spans="1:6" ht="15" customHeight="1">
      <c r="A651" t="s">
        <v>2792</v>
      </c>
      <c r="B651" t="s">
        <v>2793</v>
      </c>
      <c r="C651" s="710"/>
      <c r="D651" s="710"/>
      <c r="E651" s="710"/>
      <c r="F651" s="3"/>
    </row>
    <row r="652" spans="1:6" ht="15" customHeight="1">
      <c r="A652" t="s">
        <v>2794</v>
      </c>
      <c r="B652" t="s">
        <v>2795</v>
      </c>
      <c r="C652" s="710"/>
      <c r="D652" s="710"/>
      <c r="E652" s="710"/>
      <c r="F652" s="3"/>
    </row>
    <row r="653" spans="1:6" ht="15" customHeight="1">
      <c r="A653" t="s">
        <v>2796</v>
      </c>
      <c r="B653" t="s">
        <v>2797</v>
      </c>
      <c r="C653" s="710" t="s">
        <v>148</v>
      </c>
      <c r="D653" s="710" t="s">
        <v>152</v>
      </c>
      <c r="E653" s="710"/>
      <c r="F653" s="3"/>
    </row>
    <row r="654" spans="1:6" ht="15" customHeight="1">
      <c r="A654" t="s">
        <v>2798</v>
      </c>
      <c r="B654" t="s">
        <v>2799</v>
      </c>
      <c r="C654" s="710"/>
      <c r="D654" s="710"/>
      <c r="E654" s="710"/>
      <c r="F654" s="3"/>
    </row>
    <row r="655" spans="1:6" ht="15" customHeight="1">
      <c r="A655" s="937" t="s">
        <v>2800</v>
      </c>
      <c r="B655" s="937" t="s">
        <v>2801</v>
      </c>
      <c r="C655" s="940" t="s">
        <v>148</v>
      </c>
      <c r="D655" s="940" t="s">
        <v>152</v>
      </c>
      <c r="E655" s="940" t="s">
        <v>3126</v>
      </c>
      <c r="F655" s="3" t="s">
        <v>3127</v>
      </c>
    </row>
    <row r="656" spans="1:6" ht="15" customHeight="1">
      <c r="A656" t="s">
        <v>2802</v>
      </c>
      <c r="B656" t="s">
        <v>2803</v>
      </c>
      <c r="C656" s="710" t="s">
        <v>148</v>
      </c>
      <c r="D656" s="710" t="s">
        <v>150</v>
      </c>
      <c r="E656" s="710"/>
      <c r="F656" s="3"/>
    </row>
    <row r="657" spans="1:6" ht="15" customHeight="1">
      <c r="A657" t="s">
        <v>2806</v>
      </c>
      <c r="B657" t="s">
        <v>2807</v>
      </c>
      <c r="C657" s="710"/>
      <c r="D657" s="710"/>
      <c r="E657" s="710"/>
      <c r="F657" s="3"/>
    </row>
    <row r="658" spans="1:6" ht="15" customHeight="1">
      <c r="A658" t="s">
        <v>2808</v>
      </c>
      <c r="B658" t="s">
        <v>2809</v>
      </c>
      <c r="C658" s="710"/>
      <c r="D658" s="710"/>
      <c r="E658" s="710"/>
      <c r="F658" s="3"/>
    </row>
    <row r="659" spans="1:6" ht="15" customHeight="1">
      <c r="A659" t="s">
        <v>2810</v>
      </c>
      <c r="B659" t="s">
        <v>2811</v>
      </c>
      <c r="C659" s="710"/>
      <c r="D659" s="710"/>
      <c r="E659" s="710"/>
      <c r="F659" s="3"/>
    </row>
    <row r="660" spans="1:6" ht="15" customHeight="1">
      <c r="A660" t="s">
        <v>2812</v>
      </c>
      <c r="B660" t="s">
        <v>2813</v>
      </c>
      <c r="C660" s="710" t="s">
        <v>148</v>
      </c>
      <c r="D660" s="710" t="s">
        <v>152</v>
      </c>
      <c r="E660" s="710"/>
      <c r="F660" s="3"/>
    </row>
    <row r="661" spans="1:6" ht="15" customHeight="1">
      <c r="A661" t="s">
        <v>2814</v>
      </c>
      <c r="B661" t="s">
        <v>2815</v>
      </c>
      <c r="C661" s="710" t="s">
        <v>1163</v>
      </c>
      <c r="D661" s="710" t="s">
        <v>1167</v>
      </c>
      <c r="E661" s="710"/>
      <c r="F661" s="3"/>
    </row>
    <row r="662" spans="1:6" ht="15" customHeight="1">
      <c r="A662" t="s">
        <v>2816</v>
      </c>
      <c r="B662" t="s">
        <v>2817</v>
      </c>
      <c r="C662" s="710"/>
      <c r="D662" s="710"/>
      <c r="E662" s="710"/>
      <c r="F662" s="3"/>
    </row>
    <row r="663" spans="1:6" ht="15" customHeight="1">
      <c r="A663" t="s">
        <v>2818</v>
      </c>
      <c r="B663" t="s">
        <v>2819</v>
      </c>
      <c r="C663" s="710" t="s">
        <v>148</v>
      </c>
      <c r="D663" s="710" t="s">
        <v>102</v>
      </c>
      <c r="E663" s="710"/>
      <c r="F663" s="3"/>
    </row>
    <row r="664" spans="1:6" ht="15" customHeight="1">
      <c r="A664" t="s">
        <v>2820</v>
      </c>
      <c r="B664" s="706" t="s">
        <v>2821</v>
      </c>
      <c r="C664" s="710" t="s">
        <v>148</v>
      </c>
      <c r="D664" s="710" t="s">
        <v>102</v>
      </c>
      <c r="E664" s="710"/>
      <c r="F664" s="3"/>
    </row>
    <row r="665" spans="1:6" ht="15" customHeight="1">
      <c r="A665" t="s">
        <v>2822</v>
      </c>
      <c r="B665" t="s">
        <v>2823</v>
      </c>
      <c r="C665" s="710" t="s">
        <v>148</v>
      </c>
      <c r="D665" s="710" t="s">
        <v>102</v>
      </c>
      <c r="E665" s="710"/>
      <c r="F665" s="3"/>
    </row>
    <row r="666" spans="1:6" ht="15" customHeight="1">
      <c r="A666" s="943" t="s">
        <v>2824</v>
      </c>
      <c r="B666" s="943" t="s">
        <v>2825</v>
      </c>
      <c r="C666" s="710" t="s">
        <v>1163</v>
      </c>
      <c r="D666" s="710" t="s">
        <v>1165</v>
      </c>
      <c r="E666" s="710"/>
      <c r="F666" s="3"/>
    </row>
    <row r="667" spans="1:6" ht="15" customHeight="1">
      <c r="A667" s="943" t="s">
        <v>2826</v>
      </c>
      <c r="B667" s="943" t="s">
        <v>2827</v>
      </c>
      <c r="C667" s="710" t="s">
        <v>1163</v>
      </c>
      <c r="D667" s="710" t="s">
        <v>1165</v>
      </c>
      <c r="E667" s="710"/>
      <c r="F667" s="3"/>
    </row>
    <row r="668" spans="1:6" ht="15" customHeight="1">
      <c r="A668" t="s">
        <v>2828</v>
      </c>
      <c r="B668" t="s">
        <v>2829</v>
      </c>
      <c r="C668" s="710" t="s">
        <v>1163</v>
      </c>
      <c r="D668" s="710" t="s">
        <v>1165</v>
      </c>
      <c r="E668" s="710"/>
      <c r="F668" s="3"/>
    </row>
    <row r="669" spans="1:6" ht="15" customHeight="1">
      <c r="A669" t="s">
        <v>2830</v>
      </c>
      <c r="B669" t="s">
        <v>2831</v>
      </c>
      <c r="C669" s="710"/>
      <c r="D669" s="710"/>
      <c r="E669" s="710"/>
      <c r="F669" s="3"/>
    </row>
    <row r="670" spans="1:6" ht="15" customHeight="1">
      <c r="A670" t="s">
        <v>2832</v>
      </c>
      <c r="B670" t="s">
        <v>2833</v>
      </c>
      <c r="C670" s="710" t="s">
        <v>1163</v>
      </c>
      <c r="D670" s="710" t="s">
        <v>1166</v>
      </c>
      <c r="E670" s="710"/>
      <c r="F670" s="3"/>
    </row>
    <row r="671" spans="1:6" ht="15" customHeight="1">
      <c r="A671" t="s">
        <v>2834</v>
      </c>
      <c r="B671" t="s">
        <v>2835</v>
      </c>
      <c r="C671" s="710" t="s">
        <v>157</v>
      </c>
      <c r="D671" s="710" t="s">
        <v>160</v>
      </c>
      <c r="E671" s="710"/>
      <c r="F671" s="3"/>
    </row>
    <row r="672" spans="1:6" ht="15" customHeight="1">
      <c r="A672" t="s">
        <v>2836</v>
      </c>
      <c r="B672" t="s">
        <v>2837</v>
      </c>
      <c r="C672" s="710" t="s">
        <v>157</v>
      </c>
      <c r="D672" s="710" t="s">
        <v>162</v>
      </c>
      <c r="E672" s="710"/>
      <c r="F672" s="3"/>
    </row>
    <row r="673" spans="1:6" ht="15" customHeight="1">
      <c r="A673" s="937" t="s">
        <v>2840</v>
      </c>
      <c r="B673" s="937" t="s">
        <v>2841</v>
      </c>
      <c r="C673" s="940" t="s">
        <v>157</v>
      </c>
      <c r="D673" s="940" t="s">
        <v>160</v>
      </c>
      <c r="E673" s="940"/>
      <c r="F673" s="3"/>
    </row>
    <row r="674" spans="1:6" ht="15" customHeight="1">
      <c r="A674" t="s">
        <v>2842</v>
      </c>
      <c r="B674" t="s">
        <v>2843</v>
      </c>
      <c r="C674" s="710" t="s">
        <v>1162</v>
      </c>
      <c r="D674" s="710" t="s">
        <v>1171</v>
      </c>
      <c r="E674" s="710"/>
      <c r="F674" s="3"/>
    </row>
    <row r="675" spans="1:6" ht="15" customHeight="1">
      <c r="A675" t="s">
        <v>2844</v>
      </c>
      <c r="B675" t="s">
        <v>2845</v>
      </c>
      <c r="C675" s="710" t="s">
        <v>1162</v>
      </c>
      <c r="D675" s="710" t="s">
        <v>1169</v>
      </c>
      <c r="E675" s="710"/>
      <c r="F675" s="3"/>
    </row>
    <row r="676" spans="1:6" ht="15" customHeight="1">
      <c r="A676" t="s">
        <v>2846</v>
      </c>
      <c r="B676" t="s">
        <v>2847</v>
      </c>
      <c r="C676" s="710" t="s">
        <v>1162</v>
      </c>
      <c r="D676" s="710" t="s">
        <v>1170</v>
      </c>
      <c r="E676" s="710"/>
      <c r="F676" s="3"/>
    </row>
    <row r="677" spans="1:6" ht="15" customHeight="1">
      <c r="A677" t="s">
        <v>2848</v>
      </c>
      <c r="B677" t="s">
        <v>2849</v>
      </c>
      <c r="C677" s="710" t="s">
        <v>157</v>
      </c>
      <c r="D677" s="710" t="s">
        <v>162</v>
      </c>
      <c r="E677" s="710"/>
      <c r="F677" s="3"/>
    </row>
    <row r="678" spans="1:6" ht="15" customHeight="1">
      <c r="A678" t="s">
        <v>2850</v>
      </c>
      <c r="B678" t="s">
        <v>2851</v>
      </c>
      <c r="C678" s="710" t="s">
        <v>157</v>
      </c>
      <c r="D678" s="710" t="s">
        <v>163</v>
      </c>
      <c r="E678" s="710"/>
      <c r="F678" s="3"/>
    </row>
    <row r="679" spans="1:6" ht="15" customHeight="1">
      <c r="A679" t="s">
        <v>2852</v>
      </c>
      <c r="B679" t="s">
        <v>2853</v>
      </c>
      <c r="C679" s="710" t="s">
        <v>1162</v>
      </c>
      <c r="D679" s="710" t="s">
        <v>1169</v>
      </c>
      <c r="E679" s="710"/>
      <c r="F679" s="3"/>
    </row>
    <row r="680" spans="1:6" ht="15" customHeight="1">
      <c r="A680" t="s">
        <v>2854</v>
      </c>
      <c r="B680" t="s">
        <v>2855</v>
      </c>
      <c r="C680" s="710" t="s">
        <v>157</v>
      </c>
      <c r="D680" s="710" t="s">
        <v>163</v>
      </c>
      <c r="E680" s="710"/>
      <c r="F680" s="3"/>
    </row>
    <row r="681" spans="1:6" ht="15" customHeight="1">
      <c r="A681" t="s">
        <v>2858</v>
      </c>
      <c r="B681" t="s">
        <v>2859</v>
      </c>
      <c r="C681" s="710" t="s">
        <v>157</v>
      </c>
      <c r="D681" s="710" t="s">
        <v>165</v>
      </c>
      <c r="E681" s="710"/>
      <c r="F681" s="3"/>
    </row>
    <row r="682" spans="1:6" ht="15" customHeight="1">
      <c r="A682" t="s">
        <v>2860</v>
      </c>
      <c r="B682" t="s">
        <v>2861</v>
      </c>
      <c r="C682" s="710" t="s">
        <v>157</v>
      </c>
      <c r="D682" s="710" t="s">
        <v>168</v>
      </c>
      <c r="E682" s="710"/>
      <c r="F682" s="3"/>
    </row>
    <row r="683" spans="1:6" ht="15" customHeight="1">
      <c r="A683" t="s">
        <v>2862</v>
      </c>
      <c r="B683" t="s">
        <v>3135</v>
      </c>
      <c r="C683" s="710" t="s">
        <v>1162</v>
      </c>
      <c r="D683" s="710" t="s">
        <v>1169</v>
      </c>
      <c r="E683" s="710"/>
      <c r="F683" s="3"/>
    </row>
    <row r="684" spans="1:6" ht="15" customHeight="1">
      <c r="A684" t="s">
        <v>2866</v>
      </c>
      <c r="B684" t="s">
        <v>2867</v>
      </c>
      <c r="C684" s="710" t="s">
        <v>176</v>
      </c>
      <c r="D684" s="710" t="s">
        <v>178</v>
      </c>
      <c r="E684" s="710"/>
      <c r="F684" s="3"/>
    </row>
    <row r="685" spans="1:6" ht="15" customHeight="1">
      <c r="A685" t="s">
        <v>2868</v>
      </c>
      <c r="B685" t="s">
        <v>2869</v>
      </c>
      <c r="C685" s="710" t="s">
        <v>176</v>
      </c>
      <c r="D685" s="710" t="s">
        <v>178</v>
      </c>
      <c r="E685" s="710"/>
      <c r="F685" s="3"/>
    </row>
    <row r="686" spans="1:6" ht="15" customHeight="1">
      <c r="A686" t="s">
        <v>2870</v>
      </c>
      <c r="B686" t="s">
        <v>2871</v>
      </c>
      <c r="C686" s="710"/>
      <c r="D686" s="710"/>
      <c r="E686" s="710"/>
      <c r="F686" s="3"/>
    </row>
    <row r="687" spans="1:6" ht="15" customHeight="1">
      <c r="A687" t="s">
        <v>2872</v>
      </c>
      <c r="B687" t="s">
        <v>2873</v>
      </c>
      <c r="C687" s="710"/>
      <c r="D687" s="710"/>
      <c r="E687" s="710"/>
      <c r="F687" s="3"/>
    </row>
    <row r="688" spans="1:6" ht="15" customHeight="1">
      <c r="A688" t="s">
        <v>2874</v>
      </c>
      <c r="B688" t="s">
        <v>2875</v>
      </c>
      <c r="C688" s="710"/>
      <c r="D688" s="710"/>
      <c r="E688" s="710"/>
      <c r="F688" s="3"/>
    </row>
    <row r="689" spans="1:6" ht="15" customHeight="1">
      <c r="A689" t="s">
        <v>2878</v>
      </c>
      <c r="B689" t="s">
        <v>2879</v>
      </c>
      <c r="C689" s="710" t="s">
        <v>157</v>
      </c>
      <c r="D689" s="710" t="s">
        <v>168</v>
      </c>
      <c r="E689" s="710"/>
      <c r="F689" s="3"/>
    </row>
    <row r="690" spans="1:6" ht="15" customHeight="1">
      <c r="A690" t="s">
        <v>2880</v>
      </c>
      <c r="B690" t="s">
        <v>2881</v>
      </c>
      <c r="C690" s="710" t="s">
        <v>172</v>
      </c>
      <c r="D690" s="710" t="s">
        <v>1174</v>
      </c>
      <c r="E690" s="710"/>
      <c r="F690" s="3"/>
    </row>
    <row r="691" spans="1:6" ht="15" customHeight="1">
      <c r="A691" t="s">
        <v>2882</v>
      </c>
      <c r="B691" t="s">
        <v>2883</v>
      </c>
      <c r="C691" s="710" t="s">
        <v>172</v>
      </c>
      <c r="D691" s="710" t="s">
        <v>1173</v>
      </c>
      <c r="E691" s="710"/>
      <c r="F691" s="3"/>
    </row>
    <row r="692" spans="1:6" ht="15" customHeight="1">
      <c r="A692" t="s">
        <v>2884</v>
      </c>
      <c r="B692" t="s">
        <v>2885</v>
      </c>
      <c r="C692" s="710" t="s">
        <v>172</v>
      </c>
      <c r="D692" s="710" t="s">
        <v>1174</v>
      </c>
      <c r="E692" s="710"/>
      <c r="F692" s="3"/>
    </row>
    <row r="693" spans="1:6" ht="15" customHeight="1">
      <c r="A693" t="s">
        <v>2886</v>
      </c>
      <c r="B693" t="s">
        <v>2887</v>
      </c>
      <c r="C693" s="710" t="s">
        <v>172</v>
      </c>
      <c r="D693" s="710" t="s">
        <v>1173</v>
      </c>
      <c r="E693" s="710"/>
      <c r="F693" s="3"/>
    </row>
    <row r="694" spans="1:6" ht="15" customHeight="1">
      <c r="A694" t="s">
        <v>2888</v>
      </c>
      <c r="B694" t="s">
        <v>2889</v>
      </c>
      <c r="C694" s="710" t="s">
        <v>172</v>
      </c>
      <c r="D694" s="710" t="s">
        <v>1174</v>
      </c>
      <c r="E694" s="710"/>
      <c r="F694" s="3"/>
    </row>
    <row r="695" spans="1:6" ht="15" customHeight="1">
      <c r="A695" t="s">
        <v>2890</v>
      </c>
      <c r="B695" t="s">
        <v>2891</v>
      </c>
      <c r="C695" s="710" t="s">
        <v>172</v>
      </c>
      <c r="D695" s="710" t="s">
        <v>1173</v>
      </c>
      <c r="E695" s="710"/>
      <c r="F695" s="3"/>
    </row>
    <row r="696" spans="1:6" ht="15" customHeight="1">
      <c r="A696" t="s">
        <v>2892</v>
      </c>
      <c r="B696" t="s">
        <v>2893</v>
      </c>
      <c r="C696" s="710" t="s">
        <v>172</v>
      </c>
      <c r="D696" s="710" t="s">
        <v>1173</v>
      </c>
      <c r="E696" s="710"/>
      <c r="F696" s="3"/>
    </row>
    <row r="697" spans="1:6" ht="15" customHeight="1">
      <c r="A697" t="s">
        <v>2894</v>
      </c>
      <c r="B697" t="s">
        <v>2895</v>
      </c>
      <c r="C697" s="710" t="s">
        <v>172</v>
      </c>
      <c r="D697" s="710" t="s">
        <v>1172</v>
      </c>
      <c r="E697" s="710"/>
      <c r="F697" s="3"/>
    </row>
    <row r="698" spans="1:6" ht="15" customHeight="1">
      <c r="A698" t="s">
        <v>2896</v>
      </c>
      <c r="B698" t="s">
        <v>2897</v>
      </c>
      <c r="C698" s="710" t="s">
        <v>172</v>
      </c>
      <c r="D698" s="710" t="s">
        <v>1172</v>
      </c>
      <c r="E698" s="710"/>
      <c r="F698" s="3"/>
    </row>
    <row r="699" spans="1:6" ht="15" customHeight="1">
      <c r="A699" t="s">
        <v>2898</v>
      </c>
      <c r="B699" t="s">
        <v>2899</v>
      </c>
      <c r="C699" s="710" t="s">
        <v>172</v>
      </c>
      <c r="D699" s="710" t="s">
        <v>1172</v>
      </c>
      <c r="E699" s="710"/>
      <c r="F699" s="3"/>
    </row>
    <row r="700" spans="1:6" ht="15" customHeight="1">
      <c r="A700" t="s">
        <v>2900</v>
      </c>
      <c r="B700" t="s">
        <v>2901</v>
      </c>
      <c r="C700" s="710" t="s">
        <v>172</v>
      </c>
      <c r="D700" s="710" t="s">
        <v>1172</v>
      </c>
      <c r="E700" s="710"/>
      <c r="F700" s="3"/>
    </row>
    <row r="701" spans="1:6" ht="15" customHeight="1">
      <c r="A701" t="s">
        <v>2902</v>
      </c>
      <c r="B701" t="s">
        <v>2903</v>
      </c>
      <c r="C701" s="710" t="s">
        <v>172</v>
      </c>
      <c r="D701" s="710" t="s">
        <v>1175</v>
      </c>
      <c r="E701" s="710"/>
      <c r="F701" s="3"/>
    </row>
    <row r="702" spans="1:6" ht="15" customHeight="1">
      <c r="A702" t="s">
        <v>2904</v>
      </c>
      <c r="B702" t="s">
        <v>2905</v>
      </c>
      <c r="C702" s="710" t="s">
        <v>172</v>
      </c>
      <c r="D702" s="710" t="s">
        <v>1174</v>
      </c>
      <c r="E702" s="710"/>
      <c r="F702" s="3"/>
    </row>
    <row r="703" spans="1:6" ht="15" customHeight="1">
      <c r="A703" t="s">
        <v>2906</v>
      </c>
      <c r="B703" t="s">
        <v>2907</v>
      </c>
      <c r="C703" s="710" t="s">
        <v>172</v>
      </c>
      <c r="D703" s="710" t="s">
        <v>1172</v>
      </c>
      <c r="E703" s="710"/>
      <c r="F703" s="3"/>
    </row>
    <row r="704" spans="1:6" ht="15" customHeight="1">
      <c r="A704" t="s">
        <v>2908</v>
      </c>
      <c r="B704" t="s">
        <v>2909</v>
      </c>
      <c r="C704" s="710" t="s">
        <v>172</v>
      </c>
      <c r="D704" s="710" t="s">
        <v>1173</v>
      </c>
      <c r="E704" s="710"/>
      <c r="F704" s="3"/>
    </row>
    <row r="705" spans="1:6" ht="15" customHeight="1">
      <c r="A705" t="s">
        <v>2910</v>
      </c>
      <c r="B705" t="s">
        <v>2911</v>
      </c>
      <c r="C705" s="710" t="s">
        <v>172</v>
      </c>
      <c r="D705" s="710" t="s">
        <v>1174</v>
      </c>
      <c r="E705" s="710"/>
      <c r="F705" s="3"/>
    </row>
    <row r="706" spans="1:6" ht="15" customHeight="1">
      <c r="A706" t="s">
        <v>2912</v>
      </c>
      <c r="B706" t="s">
        <v>2913</v>
      </c>
      <c r="C706" s="710" t="s">
        <v>172</v>
      </c>
      <c r="D706" s="710" t="s">
        <v>1172</v>
      </c>
      <c r="E706" s="710"/>
      <c r="F706" s="3"/>
    </row>
    <row r="707" spans="1:6" ht="15" customHeight="1">
      <c r="A707" t="s">
        <v>2914</v>
      </c>
      <c r="B707" t="s">
        <v>2915</v>
      </c>
      <c r="C707" s="710" t="s">
        <v>172</v>
      </c>
      <c r="D707" s="710" t="s">
        <v>1173</v>
      </c>
      <c r="E707" s="710"/>
      <c r="F707" s="3"/>
    </row>
    <row r="708" spans="1:6" ht="15" customHeight="1">
      <c r="A708" t="s">
        <v>2916</v>
      </c>
      <c r="B708" t="s">
        <v>2917</v>
      </c>
      <c r="C708" s="710"/>
      <c r="D708" s="710"/>
      <c r="E708" s="710"/>
      <c r="F708" s="3"/>
    </row>
    <row r="709" spans="1:6" ht="15" customHeight="1">
      <c r="A709" t="s">
        <v>2918</v>
      </c>
      <c r="B709" t="s">
        <v>2919</v>
      </c>
      <c r="C709" s="710"/>
      <c r="D709" s="710"/>
      <c r="E709" s="710"/>
      <c r="F709" s="3"/>
    </row>
    <row r="710" spans="1:6" ht="15" customHeight="1">
      <c r="A710" t="s">
        <v>2920</v>
      </c>
      <c r="B710" t="s">
        <v>2921</v>
      </c>
      <c r="C710" s="710"/>
      <c r="D710" s="710"/>
      <c r="E710" s="710"/>
      <c r="F710" s="3"/>
    </row>
    <row r="711" spans="1:6" ht="15" customHeight="1">
      <c r="A711" t="s">
        <v>2922</v>
      </c>
      <c r="B711" t="s">
        <v>2923</v>
      </c>
      <c r="C711" s="710" t="s">
        <v>176</v>
      </c>
      <c r="D711" s="710" t="s">
        <v>179</v>
      </c>
      <c r="E711" s="710"/>
      <c r="F711" s="3"/>
    </row>
    <row r="712" spans="1:6" ht="15" customHeight="1">
      <c r="A712" t="s">
        <v>2924</v>
      </c>
      <c r="B712" t="s">
        <v>2925</v>
      </c>
      <c r="C712" s="710"/>
      <c r="D712" s="710"/>
      <c r="E712" s="710"/>
      <c r="F712" s="3"/>
    </row>
    <row r="713" spans="1:6" ht="15" customHeight="1">
      <c r="A713" t="s">
        <v>2928</v>
      </c>
      <c r="B713" t="s">
        <v>2929</v>
      </c>
      <c r="C713" s="710" t="s">
        <v>172</v>
      </c>
      <c r="D713" s="710" t="s">
        <v>1174</v>
      </c>
      <c r="E713" s="710"/>
      <c r="F713" s="3"/>
    </row>
    <row r="714" spans="1:6" ht="15" customHeight="1">
      <c r="A714" t="s">
        <v>2930</v>
      </c>
      <c r="B714" t="s">
        <v>2931</v>
      </c>
      <c r="C714" s="710" t="s">
        <v>172</v>
      </c>
      <c r="D714" s="710" t="s">
        <v>1172</v>
      </c>
      <c r="E714" s="710"/>
      <c r="F714" s="3"/>
    </row>
    <row r="715" spans="1:6" ht="15" customHeight="1">
      <c r="A715" t="s">
        <v>2932</v>
      </c>
      <c r="B715" t="s">
        <v>2933</v>
      </c>
      <c r="C715" s="710" t="s">
        <v>172</v>
      </c>
      <c r="D715" s="710" t="s">
        <v>1173</v>
      </c>
      <c r="E715" s="710"/>
      <c r="F715" s="3"/>
    </row>
    <row r="716" spans="1:6" ht="15" customHeight="1">
      <c r="A716" t="s">
        <v>2934</v>
      </c>
      <c r="B716" t="s">
        <v>2935</v>
      </c>
      <c r="C716" s="710" t="s">
        <v>172</v>
      </c>
      <c r="D716" s="710" t="s">
        <v>1174</v>
      </c>
      <c r="E716" s="710"/>
      <c r="F716" s="3"/>
    </row>
    <row r="717" spans="1:6" ht="15" customHeight="1">
      <c r="A717" t="s">
        <v>2936</v>
      </c>
      <c r="B717" t="s">
        <v>2937</v>
      </c>
      <c r="C717" s="710" t="s">
        <v>172</v>
      </c>
      <c r="D717" s="710" t="s">
        <v>1172</v>
      </c>
      <c r="E717" s="710"/>
      <c r="F717" s="3"/>
    </row>
    <row r="718" spans="1:6" ht="15" customHeight="1">
      <c r="A718" t="s">
        <v>2938</v>
      </c>
      <c r="B718" t="s">
        <v>2939</v>
      </c>
      <c r="C718" s="710" t="s">
        <v>172</v>
      </c>
      <c r="D718" s="710" t="s">
        <v>1173</v>
      </c>
      <c r="E718" s="710"/>
      <c r="F718" s="3"/>
    </row>
    <row r="719" spans="1:6" ht="15" customHeight="1">
      <c r="A719" t="s">
        <v>2940</v>
      </c>
      <c r="B719" t="s">
        <v>2941</v>
      </c>
      <c r="C719" s="710" t="s">
        <v>176</v>
      </c>
      <c r="D719" s="710" t="s">
        <v>180</v>
      </c>
      <c r="E719" s="710"/>
      <c r="F719" s="3"/>
    </row>
    <row r="720" spans="1:6" ht="15" customHeight="1">
      <c r="A720" t="s">
        <v>2942</v>
      </c>
      <c r="B720" t="s">
        <v>2943</v>
      </c>
      <c r="C720" s="710" t="s">
        <v>176</v>
      </c>
      <c r="D720" s="710" t="s">
        <v>180</v>
      </c>
      <c r="E720" s="710"/>
      <c r="F720" s="3"/>
    </row>
    <row r="721" spans="1:6" ht="15" customHeight="1">
      <c r="A721" t="s">
        <v>2944</v>
      </c>
      <c r="B721" t="s">
        <v>2945</v>
      </c>
      <c r="C721" s="710" t="s">
        <v>176</v>
      </c>
      <c r="D721" s="710" t="s">
        <v>181</v>
      </c>
      <c r="E721" s="710"/>
      <c r="F721" s="3"/>
    </row>
    <row r="722" spans="1:6" ht="15" customHeight="1">
      <c r="A722" t="s">
        <v>2946</v>
      </c>
      <c r="B722" t="s">
        <v>2947</v>
      </c>
      <c r="C722" s="710" t="s">
        <v>176</v>
      </c>
      <c r="D722" s="710" t="s">
        <v>181</v>
      </c>
      <c r="E722" s="710"/>
      <c r="F722" s="3"/>
    </row>
    <row r="723" spans="1:6" ht="15" customHeight="1">
      <c r="A723" t="s">
        <v>2948</v>
      </c>
      <c r="B723" t="s">
        <v>2949</v>
      </c>
      <c r="C723" s="710" t="s">
        <v>176</v>
      </c>
      <c r="D723" s="710" t="s">
        <v>182</v>
      </c>
      <c r="E723" s="710"/>
      <c r="F723" s="3"/>
    </row>
    <row r="724" spans="1:6" ht="15" customHeight="1">
      <c r="A724" t="s">
        <v>2950</v>
      </c>
      <c r="B724" t="s">
        <v>2951</v>
      </c>
      <c r="C724" s="710" t="s">
        <v>176</v>
      </c>
      <c r="D724" s="710" t="s">
        <v>183</v>
      </c>
      <c r="E724" s="710"/>
      <c r="F724" s="3"/>
    </row>
    <row r="725" spans="1:6" ht="15" customHeight="1">
      <c r="A725" t="s">
        <v>2952</v>
      </c>
      <c r="B725" t="s">
        <v>2953</v>
      </c>
      <c r="C725" s="710" t="s">
        <v>176</v>
      </c>
      <c r="D725" s="710" t="s">
        <v>184</v>
      </c>
      <c r="E725" s="710"/>
      <c r="F725" s="3"/>
    </row>
    <row r="726" spans="1:6" ht="15" customHeight="1">
      <c r="A726" t="s">
        <v>2954</v>
      </c>
      <c r="B726" t="s">
        <v>2955</v>
      </c>
      <c r="C726" s="710" t="s">
        <v>176</v>
      </c>
      <c r="D726" s="710" t="s">
        <v>185</v>
      </c>
      <c r="E726" s="710"/>
      <c r="F726" s="3"/>
    </row>
    <row r="727" spans="1:6" ht="15" customHeight="1">
      <c r="A727" t="s">
        <v>2956</v>
      </c>
      <c r="B727" t="s">
        <v>2957</v>
      </c>
      <c r="C727" s="710" t="s">
        <v>176</v>
      </c>
      <c r="D727" s="710" t="s">
        <v>187</v>
      </c>
      <c r="E727" s="710"/>
      <c r="F727" s="3"/>
    </row>
    <row r="728" spans="1:6" ht="15" customHeight="1">
      <c r="A728" t="s">
        <v>2958</v>
      </c>
      <c r="B728" t="s">
        <v>2959</v>
      </c>
      <c r="C728" s="710" t="s">
        <v>176</v>
      </c>
      <c r="D728" s="710" t="s">
        <v>188</v>
      </c>
      <c r="E728" s="710"/>
      <c r="F728" s="3"/>
    </row>
    <row r="729" spans="1:6" ht="15" customHeight="1">
      <c r="A729" t="s">
        <v>2994</v>
      </c>
      <c r="B729" t="s">
        <v>2995</v>
      </c>
      <c r="C729" s="710"/>
      <c r="D729" s="710"/>
      <c r="E729" s="710"/>
      <c r="F729" s="3"/>
    </row>
    <row r="730" spans="1:6" ht="15" customHeight="1">
      <c r="A730" t="s">
        <v>2998</v>
      </c>
      <c r="B730" t="s">
        <v>2999</v>
      </c>
      <c r="C730" s="710"/>
      <c r="D730" s="710"/>
      <c r="E730" s="710"/>
      <c r="F730" s="3"/>
    </row>
    <row r="731" spans="1:6" ht="15" customHeight="1">
      <c r="A731" t="s">
        <v>3002</v>
      </c>
      <c r="B731" t="s">
        <v>3003</v>
      </c>
      <c r="C731" s="710"/>
      <c r="D731" s="710"/>
      <c r="E731" s="710"/>
      <c r="F731" s="3"/>
    </row>
    <row r="732" spans="1:6" ht="15" customHeight="1">
      <c r="A732" t="s">
        <v>3010</v>
      </c>
      <c r="B732" t="s">
        <v>3011</v>
      </c>
      <c r="C732" s="710"/>
      <c r="D732" s="710"/>
      <c r="E732" s="710"/>
      <c r="F732" s="3"/>
    </row>
    <row r="733" spans="1:6" ht="15" customHeight="1">
      <c r="A733" t="s">
        <v>3016</v>
      </c>
      <c r="B733" t="s">
        <v>3017</v>
      </c>
      <c r="C733" s="710"/>
      <c r="D733" s="710"/>
      <c r="E733" s="710"/>
      <c r="F733" s="3"/>
    </row>
    <row r="734" spans="1:6" ht="15" customHeight="1">
      <c r="A734" t="s">
        <v>3028</v>
      </c>
      <c r="B734" t="s">
        <v>3029</v>
      </c>
      <c r="C734" s="710" t="s">
        <v>88</v>
      </c>
      <c r="D734" s="710" t="s">
        <v>101</v>
      </c>
      <c r="E734" s="710" t="s">
        <v>3126</v>
      </c>
      <c r="F734" s="3"/>
    </row>
    <row r="735" spans="1:6" ht="15" customHeight="1">
      <c r="A735" t="s">
        <v>3032</v>
      </c>
      <c r="B735" t="s">
        <v>3033</v>
      </c>
      <c r="C735" s="710" t="s">
        <v>88</v>
      </c>
      <c r="D735" s="710" t="s">
        <v>102</v>
      </c>
      <c r="E735" s="710" t="s">
        <v>3126</v>
      </c>
      <c r="F735" s="3"/>
    </row>
    <row r="736" spans="1:6" ht="15" customHeight="1">
      <c r="A736" t="s">
        <v>3036</v>
      </c>
      <c r="B736" t="s">
        <v>3037</v>
      </c>
      <c r="C736" s="710" t="s">
        <v>148</v>
      </c>
      <c r="D736" s="710" t="s">
        <v>101</v>
      </c>
      <c r="E736" s="710" t="s">
        <v>3126</v>
      </c>
      <c r="F736" s="3"/>
    </row>
    <row r="737" spans="1:6" ht="15" customHeight="1">
      <c r="A737" t="s">
        <v>3040</v>
      </c>
      <c r="B737" t="s">
        <v>3041</v>
      </c>
      <c r="C737" s="710" t="s">
        <v>148</v>
      </c>
      <c r="D737" s="710" t="s">
        <v>102</v>
      </c>
      <c r="E737" s="710" t="s">
        <v>3126</v>
      </c>
      <c r="F737" s="3"/>
    </row>
    <row r="738" spans="1:6" ht="15" customHeight="1">
      <c r="A738" t="s">
        <v>3060</v>
      </c>
      <c r="B738" t="s">
        <v>3059</v>
      </c>
      <c r="C738" s="710"/>
      <c r="D738" s="710"/>
      <c r="E738" s="710"/>
      <c r="F738" s="3"/>
    </row>
    <row r="739" spans="1:6" ht="15" customHeight="1">
      <c r="A739" t="s">
        <v>3063</v>
      </c>
      <c r="B739" t="s">
        <v>3064</v>
      </c>
      <c r="C739" s="710"/>
      <c r="D739" s="710"/>
      <c r="E739" s="710"/>
      <c r="F739" s="3"/>
    </row>
    <row r="740" spans="1:6" ht="15" customHeight="1">
      <c r="A740" t="s">
        <v>3067</v>
      </c>
      <c r="B740" t="s">
        <v>3068</v>
      </c>
      <c r="C740" s="710" t="s">
        <v>88</v>
      </c>
      <c r="D740" s="710" t="s">
        <v>108</v>
      </c>
      <c r="E740" s="710"/>
      <c r="F740" s="3"/>
    </row>
    <row r="741" spans="1:6" ht="15" customHeight="1">
      <c r="A741" t="s">
        <v>3071</v>
      </c>
      <c r="B741" t="s">
        <v>3072</v>
      </c>
      <c r="C741" s="710" t="s">
        <v>148</v>
      </c>
      <c r="D741" s="710" t="s">
        <v>108</v>
      </c>
      <c r="E741" s="710"/>
      <c r="F741" s="3"/>
    </row>
    <row r="742" spans="1:6" ht="15" customHeight="1">
      <c r="A742" t="s">
        <v>3077</v>
      </c>
      <c r="B742" t="s">
        <v>3078</v>
      </c>
      <c r="C742" s="710"/>
      <c r="D742" s="710"/>
      <c r="E742" s="710"/>
      <c r="F742" s="3"/>
    </row>
    <row r="743" spans="1:6" ht="15" customHeight="1">
      <c r="A743" t="s">
        <v>3083</v>
      </c>
      <c r="B743" t="s">
        <v>3082</v>
      </c>
      <c r="C743" s="710" t="s">
        <v>667</v>
      </c>
      <c r="D743" s="710" t="s">
        <v>212</v>
      </c>
      <c r="E743" s="710"/>
      <c r="F743" s="3"/>
    </row>
    <row r="744" spans="1:6" ht="15" customHeight="1">
      <c r="A744" t="s">
        <v>3084</v>
      </c>
      <c r="B744" t="s">
        <v>3085</v>
      </c>
      <c r="C744" s="710" t="s">
        <v>667</v>
      </c>
      <c r="D744" s="710" t="s">
        <v>219</v>
      </c>
      <c r="E744" s="710"/>
      <c r="F744" s="3"/>
    </row>
    <row r="745" spans="1:6" ht="15" customHeight="1">
      <c r="A745" t="s">
        <v>3086</v>
      </c>
      <c r="B745" t="s">
        <v>3087</v>
      </c>
      <c r="C745" s="710" t="s">
        <v>667</v>
      </c>
      <c r="D745" s="710" t="s">
        <v>1098</v>
      </c>
      <c r="E745" s="710"/>
      <c r="F745" s="3"/>
    </row>
    <row r="746" spans="1:6" ht="15" customHeight="1">
      <c r="A746" t="s">
        <v>3088</v>
      </c>
      <c r="B746" t="s">
        <v>3089</v>
      </c>
      <c r="C746" s="710" t="s">
        <v>88</v>
      </c>
      <c r="D746" s="710" t="s">
        <v>3136</v>
      </c>
      <c r="E746" s="710"/>
      <c r="F746" s="3"/>
    </row>
    <row r="747" spans="1:6" ht="15" customHeight="1">
      <c r="A747" t="s">
        <v>3094</v>
      </c>
      <c r="B747" t="s">
        <v>3093</v>
      </c>
      <c r="C747" s="710" t="s">
        <v>667</v>
      </c>
      <c r="D747" s="710" t="s">
        <v>212</v>
      </c>
      <c r="E747" s="710"/>
      <c r="F747" s="3"/>
    </row>
    <row r="748" spans="1:6" ht="15" customHeight="1">
      <c r="A748" t="s">
        <v>3095</v>
      </c>
      <c r="B748" t="s">
        <v>3096</v>
      </c>
      <c r="C748" s="710" t="s">
        <v>667</v>
      </c>
      <c r="D748" s="710" t="s">
        <v>219</v>
      </c>
      <c r="E748" s="710"/>
      <c r="F748" s="3"/>
    </row>
    <row r="749" spans="1:6" ht="15" customHeight="1">
      <c r="A749" s="937" t="s">
        <v>3098</v>
      </c>
      <c r="B749" s="937" t="s">
        <v>3099</v>
      </c>
      <c r="C749" s="940" t="s">
        <v>1163</v>
      </c>
      <c r="D749" s="940" t="s">
        <v>109</v>
      </c>
      <c r="E749" s="940"/>
      <c r="F749" s="3"/>
    </row>
    <row r="750" spans="1:6" ht="15" customHeight="1">
      <c r="A750" t="s">
        <v>3140</v>
      </c>
      <c r="B750" s="1046" t="s">
        <v>3146</v>
      </c>
      <c r="C750" s="710" t="s">
        <v>88</v>
      </c>
      <c r="D750" s="710" t="s">
        <v>145</v>
      </c>
      <c r="E750" s="710"/>
      <c r="F750" s="3"/>
    </row>
    <row r="751" spans="1:6" ht="15" customHeight="1">
      <c r="A751" t="s">
        <v>3141</v>
      </c>
      <c r="B751" s="1046" t="s">
        <v>3147</v>
      </c>
      <c r="C751" s="710" t="s">
        <v>148</v>
      </c>
      <c r="D751" s="710" t="s">
        <v>145</v>
      </c>
      <c r="E751" s="710"/>
      <c r="F751" s="3"/>
    </row>
    <row r="752" spans="1:6" ht="15" customHeight="1">
      <c r="A752" t="s">
        <v>3142</v>
      </c>
      <c r="B752" t="s">
        <v>3143</v>
      </c>
      <c r="C752" s="710" t="s">
        <v>88</v>
      </c>
      <c r="D752" s="710" t="s">
        <v>3130</v>
      </c>
      <c r="E752" s="710"/>
      <c r="F752" s="3"/>
    </row>
    <row r="753" spans="1:6" ht="15" customHeight="1">
      <c r="A753" t="s">
        <v>3144</v>
      </c>
      <c r="B753" t="s">
        <v>3145</v>
      </c>
      <c r="C753" s="710" t="s">
        <v>148</v>
      </c>
      <c r="D753" s="710" t="s">
        <v>3130</v>
      </c>
      <c r="E753" s="710"/>
      <c r="F753" s="3"/>
    </row>
    <row r="754" spans="1:6" ht="15" customHeight="1">
      <c r="A754" t="s">
        <v>1536</v>
      </c>
      <c r="B754" t="s">
        <v>1537</v>
      </c>
      <c r="C754" s="710" t="s">
        <v>172</v>
      </c>
      <c r="D754" s="710" t="s">
        <v>3148</v>
      </c>
      <c r="E754" s="710"/>
      <c r="F754" s="3"/>
    </row>
    <row r="755" spans="1:6" ht="15" customHeight="1">
      <c r="A755" s="1048" t="s">
        <v>1582</v>
      </c>
      <c r="B755" s="1048" t="s">
        <v>1583</v>
      </c>
      <c r="C755" s="1049" t="s">
        <v>88</v>
      </c>
      <c r="D755" s="1049" t="s">
        <v>113</v>
      </c>
      <c r="E755" s="1049"/>
      <c r="F755" s="3"/>
    </row>
    <row r="756" spans="1:6" ht="15" customHeight="1">
      <c r="A756" t="s">
        <v>2816</v>
      </c>
      <c r="B756" s="938" t="s">
        <v>2817</v>
      </c>
      <c r="C756" s="710" t="s">
        <v>667</v>
      </c>
      <c r="D756" s="710" t="s">
        <v>212</v>
      </c>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D1"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J3" s="899">
        <f>C3</f>
        <v>0</v>
      </c>
      <c r="AK3" s="899">
        <f>D3</f>
        <v>0</v>
      </c>
      <c r="AL3" s="905">
        <f>IFERROR(INDEX(G3:R3,1,MATCH(Parametres!$B$3,G$1:R$1,0)-1)*IF(OR(F3="L",F3="S",F3="I"),-1,1),"")</f>
        <v>0</v>
      </c>
      <c r="AM3" s="905">
        <f>AN3-AL3</f>
        <v>0</v>
      </c>
      <c r="AN3" s="905">
        <f>INDEX(G3:R3,1,MATCH(Parametres!$B$3,G$1:R$1,0))*IF(OR(F3="L",F3="S",F3="I"),-1,1)</f>
        <v>0</v>
      </c>
      <c r="AO3" s="487" t="e">
        <f>+VLOOKUP($AJ3,Data_Validation!$A:$D,1,0)</f>
        <v>#N/A</v>
      </c>
      <c r="AP3" s="487" t="e">
        <f>+VLOOKUP($AJ3,Data_Validation!$A:$D,3,0)</f>
        <v>#N/A</v>
      </c>
      <c r="AQ3" s="487" t="e">
        <f>+VLOOKUP($AJ3,Data_Validation!$A:$D,4,0)</f>
        <v>#N/A</v>
      </c>
      <c r="AR3" s="487" t="s">
        <v>299</v>
      </c>
      <c r="AS3" s="487" t="e">
        <f>+VLOOKUP($AJ3,Data_Validation!$A:$E,5,0)</f>
        <v>#N/A</v>
      </c>
      <c r="AT3" s="904">
        <f>C3</f>
        <v>0</v>
      </c>
      <c r="AU3" s="488">
        <f>D3</f>
        <v>0</v>
      </c>
      <c r="AV3" s="899">
        <f>IFERROR(INDEX(V3:AG3,1,MATCH(Parametres!$B$3,V$1:AG$1,0)-1)*IF(OR(C3="L",C3="S",C3="I"),-1,1),"")</f>
        <v>0</v>
      </c>
      <c r="AW3" s="899">
        <f>AX3-AV3</f>
        <v>0</v>
      </c>
      <c r="AX3" s="899">
        <f>INDEX(V3:AG3,1,MATCH(Parametres!$B$3,V$1:AG$1,0))*IF(OR(C3="L",C3="S",C3="I"),-1,1)</f>
        <v>0</v>
      </c>
      <c r="AY3" s="487" t="s">
        <v>337</v>
      </c>
      <c r="AZ3" s="487" t="e">
        <f>+VLOOKUP($AJ3,Data_Validation!$A:$E,5,0)</f>
        <v>#N/A</v>
      </c>
    </row>
    <row r="4" spans="1:52" ht="15" customHeight="1">
      <c r="AJ4" s="899">
        <f t="shared" ref="AJ4:AK67" si="0">C4</f>
        <v>0</v>
      </c>
      <c r="AK4" s="899">
        <f t="shared" si="0"/>
        <v>0</v>
      </c>
      <c r="AL4" s="905">
        <f>IFERROR(INDEX(G4:R4,1,MATCH(Parametres!$B$3,G$1:R$1,0)-1)*IF(OR(F4="L",F4="S",F4="I"),-1,1),"")</f>
        <v>0</v>
      </c>
      <c r="AM4" s="905">
        <f t="shared" ref="AM4:AM67" si="1">AN4-AL4</f>
        <v>0</v>
      </c>
      <c r="AN4" s="905">
        <f>INDEX(G4:R4,1,MATCH(Parametres!$B$3,G$1:R$1,0))*IF(OR(F4="L",F4="S",F4="I"),-1,1)</f>
        <v>0</v>
      </c>
      <c r="AO4" s="487" t="e">
        <f>+VLOOKUP($AJ4,Data_Validation!$A:$D,1,0)</f>
        <v>#N/A</v>
      </c>
      <c r="AP4" s="487" t="e">
        <f>+VLOOKUP($AJ4,Data_Validation!$A:$D,3,0)</f>
        <v>#N/A</v>
      </c>
      <c r="AQ4" s="487" t="e">
        <f>+VLOOKUP($AJ4,Data_Validation!$A:$D,4,0)</f>
        <v>#N/A</v>
      </c>
      <c r="AR4" s="487" t="s">
        <v>299</v>
      </c>
      <c r="AS4" s="487" t="e">
        <f>+VLOOKUP($AJ4,Data_Validation!$A:$E,5,0)</f>
        <v>#N/A</v>
      </c>
      <c r="AT4" s="904">
        <f t="shared" ref="AT4:AU67" si="2">C4</f>
        <v>0</v>
      </c>
      <c r="AU4" s="488">
        <f t="shared" si="2"/>
        <v>0</v>
      </c>
      <c r="AV4" s="899">
        <f>IFERROR(INDEX(V4:AG4,1,MATCH(Parametres!$B$3,V$1:AG$1,0)-1)*IF(OR(C4="L",C4="S",C4="I"),-1,1),"")</f>
        <v>0</v>
      </c>
      <c r="AW4" s="899">
        <f t="shared" ref="AW4:AW67" si="3">AX4-AV4</f>
        <v>0</v>
      </c>
      <c r="AX4" s="899">
        <f>INDEX(V4:AG4,1,MATCH(Parametres!$B$3,V$1:AG$1,0))*IF(OR(C4="L",C4="S",C4="I"),-1,1)</f>
        <v>0</v>
      </c>
      <c r="AY4" s="487" t="s">
        <v>337</v>
      </c>
      <c r="AZ4" s="487" t="e">
        <f>+VLOOKUP($AJ4,Data_Validation!$A:$E,5,0)</f>
        <v>#N/A</v>
      </c>
    </row>
    <row r="5" spans="1:52" ht="15.75" customHeight="1">
      <c r="AJ5" s="899">
        <f t="shared" si="0"/>
        <v>0</v>
      </c>
      <c r="AK5" s="899">
        <f t="shared" si="0"/>
        <v>0</v>
      </c>
      <c r="AL5" s="905">
        <f>IFERROR(INDEX(G5:R5,1,MATCH(Parametres!$B$3,G$1:R$1,0)-1)*IF(OR(F5="L",F5="S",F5="I"),-1,1),"")</f>
        <v>0</v>
      </c>
      <c r="AM5" s="905">
        <f t="shared" si="1"/>
        <v>0</v>
      </c>
      <c r="AN5" s="905">
        <f>INDEX(G5:R5,1,MATCH(Parametres!$B$3,G$1:R$1,0))*IF(OR(F5="L",F5="S",F5="I"),-1,1)</f>
        <v>0</v>
      </c>
      <c r="AO5" s="487" t="e">
        <f>+VLOOKUP($AJ5,Data_Validation!$A:$D,1,0)</f>
        <v>#N/A</v>
      </c>
      <c r="AP5" s="487" t="e">
        <f>+VLOOKUP($AJ5,Data_Validation!$A:$D,3,0)</f>
        <v>#N/A</v>
      </c>
      <c r="AQ5" s="487" t="e">
        <f>+VLOOKUP($AJ5,Data_Validation!$A:$D,4,0)</f>
        <v>#N/A</v>
      </c>
      <c r="AR5" s="487" t="s">
        <v>299</v>
      </c>
      <c r="AS5" s="487" t="e">
        <f>+VLOOKUP($AJ5,Data_Validation!$A:$E,5,0)</f>
        <v>#N/A</v>
      </c>
      <c r="AT5" s="904">
        <f t="shared" si="2"/>
        <v>0</v>
      </c>
      <c r="AU5" s="488">
        <f t="shared" si="2"/>
        <v>0</v>
      </c>
      <c r="AV5" s="899">
        <f>IFERROR(INDEX(V5:AG5,1,MATCH(Parametres!$B$3,V$1:AG$1,0)-1)*IF(OR(C5="L",C5="S",C5="I"),-1,1),"")</f>
        <v>0</v>
      </c>
      <c r="AW5" s="899">
        <f t="shared" si="3"/>
        <v>0</v>
      </c>
      <c r="AX5" s="899">
        <f>INDEX(V5:AG5,1,MATCH(Parametres!$B$3,V$1:AG$1,0))*IF(OR(C5="L",C5="S",C5="I"),-1,1)</f>
        <v>0</v>
      </c>
      <c r="AY5" s="487" t="s">
        <v>337</v>
      </c>
      <c r="AZ5" s="487" t="e">
        <f>+VLOOKUP($AJ5,Data_Validation!$A:$E,5,0)</f>
        <v>#N/A</v>
      </c>
    </row>
    <row r="6" spans="1:52" ht="15.75" customHeight="1">
      <c r="AJ6" s="899">
        <f t="shared" si="0"/>
        <v>0</v>
      </c>
      <c r="AK6" s="899">
        <f t="shared" si="0"/>
        <v>0</v>
      </c>
      <c r="AL6" s="905">
        <f>IFERROR(INDEX(G6:R6,1,MATCH(Parametres!$B$3,G$1:R$1,0)-1)*IF(OR(F6="L",F6="S",F6="I"),-1,1),"")</f>
        <v>0</v>
      </c>
      <c r="AM6" s="905">
        <f t="shared" si="1"/>
        <v>0</v>
      </c>
      <c r="AN6" s="905">
        <f>INDEX(G6:R6,1,MATCH(Parametres!$B$3,G$1:R$1,0))*IF(OR(F6="L",F6="S",F6="I"),-1,1)</f>
        <v>0</v>
      </c>
      <c r="AO6" s="487" t="e">
        <f>+VLOOKUP($AJ6,Data_Validation!$A:$D,1,0)</f>
        <v>#N/A</v>
      </c>
      <c r="AP6" s="487" t="e">
        <f>+VLOOKUP($AJ6,Data_Validation!$A:$D,3,0)</f>
        <v>#N/A</v>
      </c>
      <c r="AQ6" s="487" t="e">
        <f>+VLOOKUP($AJ6,Data_Validation!$A:$D,4,0)</f>
        <v>#N/A</v>
      </c>
      <c r="AR6" s="487" t="s">
        <v>299</v>
      </c>
      <c r="AS6" s="487" t="e">
        <f>+VLOOKUP($AJ6,Data_Validation!$A:$E,5,0)</f>
        <v>#N/A</v>
      </c>
      <c r="AT6" s="904">
        <f t="shared" si="2"/>
        <v>0</v>
      </c>
      <c r="AU6" s="488">
        <f t="shared" si="2"/>
        <v>0</v>
      </c>
      <c r="AV6" s="899">
        <f>IFERROR(INDEX(V6:AG6,1,MATCH(Parametres!$B$3,V$1:AG$1,0)-1)*IF(OR(C6="L",C6="S",C6="I"),-1,1),"")</f>
        <v>0</v>
      </c>
      <c r="AW6" s="899">
        <f t="shared" si="3"/>
        <v>0</v>
      </c>
      <c r="AX6" s="899">
        <f>INDEX(V6:AG6,1,MATCH(Parametres!$B$3,V$1:AG$1,0))*IF(OR(C6="L",C6="S",C6="I"),-1,1)</f>
        <v>0</v>
      </c>
      <c r="AY6" s="487" t="s">
        <v>337</v>
      </c>
      <c r="AZ6" s="487" t="e">
        <f>+VLOOKUP($AJ6,Data_Validation!$A:$E,5,0)</f>
        <v>#N/A</v>
      </c>
    </row>
    <row r="7" spans="1:52" ht="15" customHeight="1">
      <c r="AJ7" s="899">
        <f t="shared" si="0"/>
        <v>0</v>
      </c>
      <c r="AK7" s="899">
        <f t="shared" si="0"/>
        <v>0</v>
      </c>
      <c r="AL7" s="905">
        <f>IFERROR(INDEX(G7:R7,1,MATCH(Parametres!$B$3,G$1:R$1,0)-1)*IF(OR(F7="L",F7="S",F7="I"),-1,1),"")</f>
        <v>0</v>
      </c>
      <c r="AM7" s="905">
        <f t="shared" si="1"/>
        <v>0</v>
      </c>
      <c r="AN7" s="905">
        <f>INDEX(G7:R7,1,MATCH(Parametres!$B$3,G$1:R$1,0))*IF(OR(F7="L",F7="S",F7="I"),-1,1)</f>
        <v>0</v>
      </c>
      <c r="AO7" s="487" t="e">
        <f>+VLOOKUP($AJ7,Data_Validation!$A:$D,1,0)</f>
        <v>#N/A</v>
      </c>
      <c r="AP7" s="487" t="e">
        <f>+VLOOKUP($AJ7,Data_Validation!$A:$D,3,0)</f>
        <v>#N/A</v>
      </c>
      <c r="AQ7" s="487" t="e">
        <f>+VLOOKUP($AJ7,Data_Validation!$A:$D,4,0)</f>
        <v>#N/A</v>
      </c>
      <c r="AR7" s="487" t="s">
        <v>299</v>
      </c>
      <c r="AS7" s="487" t="e">
        <f>+VLOOKUP($AJ7,Data_Validation!$A:$E,5,0)</f>
        <v>#N/A</v>
      </c>
      <c r="AT7" s="904">
        <f t="shared" si="2"/>
        <v>0</v>
      </c>
      <c r="AU7" s="488">
        <f t="shared" si="2"/>
        <v>0</v>
      </c>
      <c r="AV7" s="899">
        <f>IFERROR(INDEX(V7:AG7,1,MATCH(Parametres!$B$3,V$1:AG$1,0)-1)*IF(OR(C7="L",C7="S",C7="I"),-1,1),"")</f>
        <v>0</v>
      </c>
      <c r="AW7" s="899">
        <f t="shared" si="3"/>
        <v>0</v>
      </c>
      <c r="AX7" s="899">
        <f>INDEX(V7:AG7,1,MATCH(Parametres!$B$3,V$1:AG$1,0))*IF(OR(C7="L",C7="S",C7="I"),-1,1)</f>
        <v>0</v>
      </c>
      <c r="AY7" s="487" t="s">
        <v>337</v>
      </c>
      <c r="AZ7" s="487" t="e">
        <f>+VLOOKUP($AJ7,Data_Validation!$A:$E,5,0)</f>
        <v>#N/A</v>
      </c>
    </row>
    <row r="8" spans="1:52" ht="15" customHeight="1">
      <c r="AJ8" s="899">
        <f t="shared" si="0"/>
        <v>0</v>
      </c>
      <c r="AK8" s="899">
        <f t="shared" si="0"/>
        <v>0</v>
      </c>
      <c r="AL8" s="905">
        <f>IFERROR(INDEX(G8:R8,1,MATCH(Parametres!$B$3,G$1:R$1,0)-1)*IF(OR(F8="L",F8="S",F8="I"),-1,1),"")</f>
        <v>0</v>
      </c>
      <c r="AM8" s="905">
        <f t="shared" si="1"/>
        <v>0</v>
      </c>
      <c r="AN8" s="905">
        <f>INDEX(G8:R8,1,MATCH(Parametres!$B$3,G$1:R$1,0))*IF(OR(F8="L",F8="S",F8="I"),-1,1)</f>
        <v>0</v>
      </c>
      <c r="AO8" s="487" t="e">
        <f>+VLOOKUP($AJ8,Data_Validation!$A:$D,1,0)</f>
        <v>#N/A</v>
      </c>
      <c r="AP8" s="487" t="e">
        <f>+VLOOKUP($AJ8,Data_Validation!$A:$D,3,0)</f>
        <v>#N/A</v>
      </c>
      <c r="AQ8" s="487" t="e">
        <f>+VLOOKUP($AJ8,Data_Validation!$A:$D,4,0)</f>
        <v>#N/A</v>
      </c>
      <c r="AR8" s="487" t="s">
        <v>299</v>
      </c>
      <c r="AS8" s="487" t="e">
        <f>+VLOOKUP($AJ8,Data_Validation!$A:$E,5,0)</f>
        <v>#N/A</v>
      </c>
      <c r="AT8" s="904">
        <f t="shared" si="2"/>
        <v>0</v>
      </c>
      <c r="AU8" s="488">
        <f t="shared" si="2"/>
        <v>0</v>
      </c>
      <c r="AV8" s="899">
        <f>IFERROR(INDEX(V8:AG8,1,MATCH(Parametres!$B$3,V$1:AG$1,0)-1)*IF(OR(C8="L",C8="S",C8="I"),-1,1),"")</f>
        <v>0</v>
      </c>
      <c r="AW8" s="899">
        <f t="shared" si="3"/>
        <v>0</v>
      </c>
      <c r="AX8" s="899">
        <f>INDEX(V8:AG8,1,MATCH(Parametres!$B$3,V$1:AG$1,0))*IF(OR(C8="L",C8="S",C8="I"),-1,1)</f>
        <v>0</v>
      </c>
      <c r="AY8" s="487" t="s">
        <v>337</v>
      </c>
      <c r="AZ8" s="487" t="e">
        <f>+VLOOKUP($AJ8,Data_Validation!$A:$E,5,0)</f>
        <v>#N/A</v>
      </c>
    </row>
    <row r="9" spans="1:52" ht="15" customHeight="1">
      <c r="AJ9" s="899">
        <f t="shared" si="0"/>
        <v>0</v>
      </c>
      <c r="AK9" s="899">
        <f t="shared" si="0"/>
        <v>0</v>
      </c>
      <c r="AL9" s="905">
        <f>IFERROR(INDEX(G9:R9,1,MATCH(Parametres!$B$3,G$1:R$1,0)-1)*IF(OR(F9="L",F9="S",F9="I"),-1,1),"")</f>
        <v>0</v>
      </c>
      <c r="AM9" s="905">
        <f t="shared" si="1"/>
        <v>0</v>
      </c>
      <c r="AN9" s="905">
        <f>INDEX(G9:R9,1,MATCH(Parametres!$B$3,G$1:R$1,0))*IF(OR(F9="L",F9="S",F9="I"),-1,1)</f>
        <v>0</v>
      </c>
      <c r="AO9" s="487" t="e">
        <f>+VLOOKUP($AJ9,Data_Validation!$A:$D,1,0)</f>
        <v>#N/A</v>
      </c>
      <c r="AP9" s="487" t="e">
        <f>+VLOOKUP($AJ9,Data_Validation!$A:$D,3,0)</f>
        <v>#N/A</v>
      </c>
      <c r="AQ9" s="487" t="e">
        <f>+VLOOKUP($AJ9,Data_Validation!$A:$D,4,0)</f>
        <v>#N/A</v>
      </c>
      <c r="AR9" s="487" t="s">
        <v>299</v>
      </c>
      <c r="AS9" s="487" t="e">
        <f>+VLOOKUP($AJ9,Data_Validation!$A:$E,5,0)</f>
        <v>#N/A</v>
      </c>
      <c r="AT9" s="904">
        <f t="shared" si="2"/>
        <v>0</v>
      </c>
      <c r="AU9" s="488">
        <f t="shared" si="2"/>
        <v>0</v>
      </c>
      <c r="AV9" s="899">
        <f>IFERROR(INDEX(V9:AG9,1,MATCH(Parametres!$B$3,V$1:AG$1,0)-1)*IF(OR(C9="L",C9="S",C9="I"),-1,1),"")</f>
        <v>0</v>
      </c>
      <c r="AW9" s="899">
        <f t="shared" si="3"/>
        <v>0</v>
      </c>
      <c r="AX9" s="899">
        <f>INDEX(V9:AG9,1,MATCH(Parametres!$B$3,V$1:AG$1,0))*IF(OR(C9="L",C9="S",C9="I"),-1,1)</f>
        <v>0</v>
      </c>
      <c r="AY9" s="487" t="s">
        <v>337</v>
      </c>
      <c r="AZ9" s="487" t="e">
        <f>+VLOOKUP($AJ9,Data_Validation!$A:$E,5,0)</f>
        <v>#N/A</v>
      </c>
    </row>
    <row r="10" spans="1:52" ht="15" customHeight="1">
      <c r="AJ10" s="899">
        <f t="shared" si="0"/>
        <v>0</v>
      </c>
      <c r="AK10" s="899">
        <f t="shared" si="0"/>
        <v>0</v>
      </c>
      <c r="AL10" s="905">
        <f>IFERROR(INDEX(G10:R10,1,MATCH(Parametres!$B$3,G$1:R$1,0)-1)*IF(OR(F10="L",F10="S",F10="I"),-1,1),"")</f>
        <v>0</v>
      </c>
      <c r="AM10" s="905">
        <f t="shared" si="1"/>
        <v>0</v>
      </c>
      <c r="AN10" s="905">
        <f>INDEX(G10:R10,1,MATCH(Parametres!$B$3,G$1:R$1,0))*IF(OR(F10="L",F10="S",F10="I"),-1,1)</f>
        <v>0</v>
      </c>
      <c r="AO10" s="487" t="e">
        <f>+VLOOKUP($AJ10,Data_Validation!$A:$D,1,0)</f>
        <v>#N/A</v>
      </c>
      <c r="AP10" s="487" t="e">
        <f>+VLOOKUP($AJ10,Data_Validation!$A:$D,3,0)</f>
        <v>#N/A</v>
      </c>
      <c r="AQ10" s="487" t="e">
        <f>+VLOOKUP($AJ10,Data_Validation!$A:$D,4,0)</f>
        <v>#N/A</v>
      </c>
      <c r="AR10" s="487" t="s">
        <v>299</v>
      </c>
      <c r="AS10" s="487" t="e">
        <f>+VLOOKUP($AJ10,Data_Validation!$A:$E,5,0)</f>
        <v>#N/A</v>
      </c>
      <c r="AT10" s="904">
        <f t="shared" si="2"/>
        <v>0</v>
      </c>
      <c r="AU10" s="488">
        <f t="shared" si="2"/>
        <v>0</v>
      </c>
      <c r="AV10" s="899">
        <f>IFERROR(INDEX(V10:AG10,1,MATCH(Parametres!$B$3,V$1:AG$1,0)-1)*IF(OR(C10="L",C10="S",C10="I"),-1,1),"")</f>
        <v>0</v>
      </c>
      <c r="AW10" s="899">
        <f t="shared" si="3"/>
        <v>0</v>
      </c>
      <c r="AX10" s="899">
        <f>INDEX(V10:AG10,1,MATCH(Parametres!$B$3,V$1:AG$1,0))*IF(OR(C10="L",C10="S",C10="I"),-1,1)</f>
        <v>0</v>
      </c>
      <c r="AY10" s="487" t="s">
        <v>337</v>
      </c>
      <c r="AZ10" s="487" t="e">
        <f>+VLOOKUP($AJ10,Data_Validation!$A:$E,5,0)</f>
        <v>#N/A</v>
      </c>
    </row>
    <row r="11" spans="1:52" ht="15" customHeight="1">
      <c r="AJ11" s="899">
        <f t="shared" si="0"/>
        <v>0</v>
      </c>
      <c r="AK11" s="899">
        <f t="shared" si="0"/>
        <v>0</v>
      </c>
      <c r="AL11" s="905">
        <f>IFERROR(INDEX(G11:R11,1,MATCH(Parametres!$B$3,G$1:R$1,0)-1)*IF(OR(F11="L",F11="S",F11="I"),-1,1),"")</f>
        <v>0</v>
      </c>
      <c r="AM11" s="905">
        <f t="shared" si="1"/>
        <v>0</v>
      </c>
      <c r="AN11" s="905">
        <f>INDEX(G11:R11,1,MATCH(Parametres!$B$3,G$1:R$1,0))*IF(OR(F11="L",F11="S",F11="I"),-1,1)</f>
        <v>0</v>
      </c>
      <c r="AO11" s="487" t="e">
        <f>+VLOOKUP($AJ11,Data_Validation!$A:$D,1,0)</f>
        <v>#N/A</v>
      </c>
      <c r="AP11" s="487" t="e">
        <f>+VLOOKUP($AJ11,Data_Validation!$A:$D,3,0)</f>
        <v>#N/A</v>
      </c>
      <c r="AQ11" s="487" t="e">
        <f>+VLOOKUP($AJ11,Data_Validation!$A:$D,4,0)</f>
        <v>#N/A</v>
      </c>
      <c r="AR11" s="487" t="s">
        <v>299</v>
      </c>
      <c r="AS11" s="487" t="e">
        <f>+VLOOKUP($AJ11,Data_Validation!$A:$E,5,0)</f>
        <v>#N/A</v>
      </c>
      <c r="AT11" s="904">
        <f t="shared" si="2"/>
        <v>0</v>
      </c>
      <c r="AU11" s="488">
        <f t="shared" si="2"/>
        <v>0</v>
      </c>
      <c r="AV11" s="899">
        <f>IFERROR(INDEX(V11:AG11,1,MATCH(Parametres!$B$3,V$1:AG$1,0)-1)*IF(OR(C11="L",C11="S",C11="I"),-1,1),"")</f>
        <v>0</v>
      </c>
      <c r="AW11" s="899">
        <f t="shared" si="3"/>
        <v>0</v>
      </c>
      <c r="AX11" s="899">
        <f>INDEX(V11:AG11,1,MATCH(Parametres!$B$3,V$1:AG$1,0))*IF(OR(C11="L",C11="S",C11="I"),-1,1)</f>
        <v>0</v>
      </c>
      <c r="AY11" s="487" t="s">
        <v>337</v>
      </c>
      <c r="AZ11" s="487" t="e">
        <f>+VLOOKUP($AJ11,Data_Validation!$A:$E,5,0)</f>
        <v>#N/A</v>
      </c>
    </row>
    <row r="12" spans="1:52" ht="15" customHeight="1">
      <c r="AJ12" s="899">
        <f t="shared" si="0"/>
        <v>0</v>
      </c>
      <c r="AK12" s="899">
        <f t="shared" si="0"/>
        <v>0</v>
      </c>
      <c r="AL12" s="905">
        <f>IFERROR(INDEX(G12:R12,1,MATCH(Parametres!$B$3,G$1:R$1,0)-1)*IF(OR(F12="L",F12="S",F12="I"),-1,1),"")</f>
        <v>0</v>
      </c>
      <c r="AM12" s="905">
        <f t="shared" si="1"/>
        <v>0</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f t="shared" si="2"/>
        <v>0</v>
      </c>
      <c r="AU12" s="488">
        <f t="shared" si="2"/>
        <v>0</v>
      </c>
      <c r="AV12" s="899">
        <f>IFERROR(INDEX(V12:AG12,1,MATCH(Parametres!$B$3,V$1:AG$1,0)-1)*IF(OR(C12="L",C12="S",C12="I"),-1,1),"")</f>
        <v>0</v>
      </c>
      <c r="AW12" s="899">
        <f t="shared" si="3"/>
        <v>0</v>
      </c>
      <c r="AX12" s="899">
        <f>INDEX(V12:AG12,1,MATCH(Parametres!$B$3,V$1:AG$1,0))*IF(OR(C12="L",C12="S",C12="I"),-1,1)</f>
        <v>0</v>
      </c>
      <c r="AY12" s="487" t="s">
        <v>337</v>
      </c>
      <c r="AZ12" s="487" t="e">
        <f>+VLOOKUP($AJ12,Data_Validation!$A:$E,5,0)</f>
        <v>#N/A</v>
      </c>
    </row>
    <row r="13" spans="1:52" ht="15" customHeight="1">
      <c r="AJ13" s="899">
        <f t="shared" si="0"/>
        <v>0</v>
      </c>
      <c r="AK13" s="899">
        <f t="shared" si="0"/>
        <v>0</v>
      </c>
      <c r="AL13" s="905">
        <f>IFERROR(INDEX(G13:R13,1,MATCH(Parametres!$B$3,G$1:R$1,0)-1)*IF(OR(F13="L",F13="S",F13="I"),-1,1),"")</f>
        <v>0</v>
      </c>
      <c r="AM13" s="905">
        <f t="shared" si="1"/>
        <v>0</v>
      </c>
      <c r="AN13" s="905">
        <f>INDEX(G13:R13,1,MATCH(Parametres!$B$3,G$1:R$1,0))*IF(OR(F13="L",F13="S",F13="I"),-1,1)</f>
        <v>0</v>
      </c>
      <c r="AO13" s="487" t="e">
        <f>+VLOOKUP($AJ13,Data_Validation!$A:$D,1,0)</f>
        <v>#N/A</v>
      </c>
      <c r="AP13" s="487" t="e">
        <f>+VLOOKUP($AJ13,Data_Validation!$A:$D,3,0)</f>
        <v>#N/A</v>
      </c>
      <c r="AQ13" s="487" t="e">
        <f>+VLOOKUP($AJ13,Data_Validation!$A:$D,4,0)</f>
        <v>#N/A</v>
      </c>
      <c r="AR13" s="487" t="s">
        <v>299</v>
      </c>
      <c r="AS13" s="487" t="e">
        <f>+VLOOKUP($AJ13,Data_Validation!$A:$E,5,0)</f>
        <v>#N/A</v>
      </c>
      <c r="AT13" s="904">
        <f t="shared" si="2"/>
        <v>0</v>
      </c>
      <c r="AU13" s="488">
        <f t="shared" si="2"/>
        <v>0</v>
      </c>
      <c r="AV13" s="899">
        <f>IFERROR(INDEX(V13:AG13,1,MATCH(Parametres!$B$3,V$1:AG$1,0)-1)*IF(OR(C13="L",C13="S",C13="I"),-1,1),"")</f>
        <v>0</v>
      </c>
      <c r="AW13" s="899">
        <f t="shared" si="3"/>
        <v>0</v>
      </c>
      <c r="AX13" s="899">
        <f>INDEX(V13:AG13,1,MATCH(Parametres!$B$3,V$1:AG$1,0))*IF(OR(C13="L",C13="S",C13="I"),-1,1)</f>
        <v>0</v>
      </c>
      <c r="AY13" s="487" t="s">
        <v>337</v>
      </c>
      <c r="AZ13" s="487" t="e">
        <f>+VLOOKUP($AJ13,Data_Validation!$A:$E,5,0)</f>
        <v>#N/A</v>
      </c>
    </row>
    <row r="14" spans="1:52" ht="15" customHeight="1">
      <c r="AJ14" s="899">
        <f t="shared" si="0"/>
        <v>0</v>
      </c>
      <c r="AK14" s="899">
        <f t="shared" si="0"/>
        <v>0</v>
      </c>
      <c r="AL14" s="905">
        <f>IFERROR(INDEX(G14:R14,1,MATCH(Parametres!$B$3,G$1:R$1,0)-1)*IF(OR(F14="L",F14="S",F14="I"),-1,1),"")</f>
        <v>0</v>
      </c>
      <c r="AM14" s="905">
        <f t="shared" si="1"/>
        <v>0</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f t="shared" si="2"/>
        <v>0</v>
      </c>
      <c r="AU14" s="488">
        <f t="shared" si="2"/>
        <v>0</v>
      </c>
      <c r="AV14" s="899">
        <f>IFERROR(INDEX(V14:AG14,1,MATCH(Parametres!$B$3,V$1:AG$1,0)-1)*IF(OR(C14="L",C14="S",C14="I"),-1,1),"")</f>
        <v>0</v>
      </c>
      <c r="AW14" s="899">
        <f t="shared" si="3"/>
        <v>0</v>
      </c>
      <c r="AX14" s="899">
        <f>INDEX(V14:AG14,1,MATCH(Parametres!$B$3,V$1:AG$1,0))*IF(OR(C14="L",C14="S",C14="I"),-1,1)</f>
        <v>0</v>
      </c>
      <c r="AY14" s="487" t="s">
        <v>337</v>
      </c>
      <c r="AZ14" s="487" t="e">
        <f>+VLOOKUP($AJ14,Data_Validation!$A:$E,5,0)</f>
        <v>#N/A</v>
      </c>
    </row>
    <row r="15" spans="1:52" ht="15" customHeight="1">
      <c r="AJ15" s="899">
        <f t="shared" si="0"/>
        <v>0</v>
      </c>
      <c r="AK15" s="899">
        <f t="shared" si="0"/>
        <v>0</v>
      </c>
      <c r="AL15" s="905">
        <f>IFERROR(INDEX(G15:R15,1,MATCH(Parametres!$B$3,G$1:R$1,0)-1)*IF(OR(F15="L",F15="S",F15="I"),-1,1),"")</f>
        <v>0</v>
      </c>
      <c r="AM15" s="905">
        <f t="shared" si="1"/>
        <v>0</v>
      </c>
      <c r="AN15" s="905">
        <f>INDEX(G15:R15,1,MATCH(Parametres!$B$3,G$1:R$1,0))*IF(OR(F15="L",F15="S",F15="I"),-1,1)</f>
        <v>0</v>
      </c>
      <c r="AO15" s="487" t="e">
        <f>+VLOOKUP($AJ15,Data_Validation!$A:$D,1,0)</f>
        <v>#N/A</v>
      </c>
      <c r="AP15" s="487" t="e">
        <f>+VLOOKUP($AJ15,Data_Validation!$A:$D,3,0)</f>
        <v>#N/A</v>
      </c>
      <c r="AQ15" s="487" t="e">
        <f>+VLOOKUP($AJ15,Data_Validation!$A:$D,4,0)</f>
        <v>#N/A</v>
      </c>
      <c r="AR15" s="487" t="s">
        <v>299</v>
      </c>
      <c r="AS15" s="487" t="e">
        <f>+VLOOKUP($AJ15,Data_Validation!$A:$E,5,0)</f>
        <v>#N/A</v>
      </c>
      <c r="AT15" s="904">
        <f t="shared" si="2"/>
        <v>0</v>
      </c>
      <c r="AU15" s="488">
        <f t="shared" si="2"/>
        <v>0</v>
      </c>
      <c r="AV15" s="899">
        <f>IFERROR(INDEX(V15:AG15,1,MATCH(Parametres!$B$3,V$1:AG$1,0)-1)*IF(OR(C15="L",C15="S",C15="I"),-1,1),"")</f>
        <v>0</v>
      </c>
      <c r="AW15" s="899">
        <f t="shared" si="3"/>
        <v>0</v>
      </c>
      <c r="AX15" s="899">
        <f>INDEX(V15:AG15,1,MATCH(Parametres!$B$3,V$1:AG$1,0))*IF(OR(C15="L",C15="S",C15="I"),-1,1)</f>
        <v>0</v>
      </c>
      <c r="AY15" s="487" t="s">
        <v>337</v>
      </c>
      <c r="AZ15" s="487" t="e">
        <f>+VLOOKUP($AJ15,Data_Validation!$A:$E,5,0)</f>
        <v>#N/A</v>
      </c>
    </row>
    <row r="16" spans="1:52" ht="15" customHeight="1">
      <c r="AJ16" s="899">
        <f t="shared" si="0"/>
        <v>0</v>
      </c>
      <c r="AK16" s="899">
        <f t="shared" si="0"/>
        <v>0</v>
      </c>
      <c r="AL16" s="905">
        <f>IFERROR(INDEX(G16:R16,1,MATCH(Parametres!$B$3,G$1:R$1,0)-1)*IF(OR(F16="L",F16="S",F16="I"),-1,1),"")</f>
        <v>0</v>
      </c>
      <c r="AM16" s="905">
        <f t="shared" si="1"/>
        <v>0</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f t="shared" si="2"/>
        <v>0</v>
      </c>
      <c r="AU16" s="488">
        <f t="shared" si="2"/>
        <v>0</v>
      </c>
      <c r="AV16" s="899">
        <f>IFERROR(INDEX(V16:AG16,1,MATCH(Parametres!$B$3,V$1:AG$1,0)-1)*IF(OR(C16="L",C16="S",C16="I"),-1,1),"")</f>
        <v>0</v>
      </c>
      <c r="AW16" s="899">
        <f t="shared" si="3"/>
        <v>0</v>
      </c>
      <c r="AX16" s="899">
        <f>INDEX(V16:AG16,1,MATCH(Parametres!$B$3,V$1:AG$1,0))*IF(OR(C16="L",C16="S",C16="I"),-1,1)</f>
        <v>0</v>
      </c>
      <c r="AY16" s="487" t="s">
        <v>337</v>
      </c>
      <c r="AZ16" s="487" t="e">
        <f>+VLOOKUP($AJ16,Data_Validation!$A:$E,5,0)</f>
        <v>#N/A</v>
      </c>
    </row>
    <row r="17" spans="36:52" ht="15" customHeight="1">
      <c r="AJ17" s="899">
        <f t="shared" si="0"/>
        <v>0</v>
      </c>
      <c r="AK17" s="899">
        <f t="shared" si="0"/>
        <v>0</v>
      </c>
      <c r="AL17" s="905">
        <f>IFERROR(INDEX(G17:R17,1,MATCH(Parametres!$B$3,G$1:R$1,0)-1)*IF(OR(F17="L",F17="S",F17="I"),-1,1),"")</f>
        <v>0</v>
      </c>
      <c r="AM17" s="905">
        <f t="shared" si="1"/>
        <v>0</v>
      </c>
      <c r="AN17" s="905">
        <f>INDEX(G17:R17,1,MATCH(Parametres!$B$3,G$1:R$1,0))*IF(OR(F17="L",F17="S",F17="I"),-1,1)</f>
        <v>0</v>
      </c>
      <c r="AO17" s="487" t="e">
        <f>+VLOOKUP($AJ17,Data_Validation!$A:$D,1,0)</f>
        <v>#N/A</v>
      </c>
      <c r="AP17" s="487" t="e">
        <f>+VLOOKUP($AJ17,Data_Validation!$A:$D,3,0)</f>
        <v>#N/A</v>
      </c>
      <c r="AQ17" s="487" t="e">
        <f>+VLOOKUP($AJ17,Data_Validation!$A:$D,4,0)</f>
        <v>#N/A</v>
      </c>
      <c r="AR17" s="487" t="s">
        <v>299</v>
      </c>
      <c r="AS17" s="487" t="e">
        <f>+VLOOKUP($AJ17,Data_Validation!$A:$E,5,0)</f>
        <v>#N/A</v>
      </c>
      <c r="AT17" s="904">
        <f t="shared" si="2"/>
        <v>0</v>
      </c>
      <c r="AU17" s="488">
        <f t="shared" si="2"/>
        <v>0</v>
      </c>
      <c r="AV17" s="899">
        <f>IFERROR(INDEX(V17:AG17,1,MATCH(Parametres!$B$3,V$1:AG$1,0)-1)*IF(OR(C17="L",C17="S",C17="I"),-1,1),"")</f>
        <v>0</v>
      </c>
      <c r="AW17" s="899">
        <f t="shared" si="3"/>
        <v>0</v>
      </c>
      <c r="AX17" s="899">
        <f>INDEX(V17:AG17,1,MATCH(Parametres!$B$3,V$1:AG$1,0))*IF(OR(C17="L",C17="S",C17="I"),-1,1)</f>
        <v>0</v>
      </c>
      <c r="AY17" s="487" t="s">
        <v>337</v>
      </c>
      <c r="AZ17" s="487" t="e">
        <f>+VLOOKUP($AJ17,Data_Validation!$A:$E,5,0)</f>
        <v>#N/A</v>
      </c>
    </row>
    <row r="18" spans="36:52" ht="15" customHeight="1">
      <c r="AJ18" s="899">
        <f t="shared" si="0"/>
        <v>0</v>
      </c>
      <c r="AK18" s="899">
        <f t="shared" si="0"/>
        <v>0</v>
      </c>
      <c r="AL18" s="905">
        <f>IFERROR(INDEX(G18:R18,1,MATCH(Parametres!$B$3,G$1:R$1,0)-1)*IF(OR(F18="L",F18="S",F18="I"),-1,1),"")</f>
        <v>0</v>
      </c>
      <c r="AM18" s="905">
        <f t="shared" si="1"/>
        <v>0</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f t="shared" si="2"/>
        <v>0</v>
      </c>
      <c r="AU18" s="488">
        <f t="shared" si="2"/>
        <v>0</v>
      </c>
      <c r="AV18" s="899">
        <f>IFERROR(INDEX(V18:AG18,1,MATCH(Parametres!$B$3,V$1:AG$1,0)-1)*IF(OR(C18="L",C18="S",C18="I"),-1,1),"")</f>
        <v>0</v>
      </c>
      <c r="AW18" s="899">
        <f t="shared" si="3"/>
        <v>0</v>
      </c>
      <c r="AX18" s="899">
        <f>INDEX(V18:AG18,1,MATCH(Parametres!$B$3,V$1:AG$1,0))*IF(OR(C18="L",C18="S",C18="I"),-1,1)</f>
        <v>0</v>
      </c>
      <c r="AY18" s="487" t="s">
        <v>337</v>
      </c>
      <c r="AZ18" s="487" t="e">
        <f>+VLOOKUP($AJ18,Data_Validation!$A:$E,5,0)</f>
        <v>#N/A</v>
      </c>
    </row>
    <row r="19" spans="36:52" ht="15" customHeight="1">
      <c r="AJ19" s="899">
        <f t="shared" si="0"/>
        <v>0</v>
      </c>
      <c r="AK19" s="899">
        <f t="shared" si="0"/>
        <v>0</v>
      </c>
      <c r="AL19" s="905">
        <f>IFERROR(INDEX(G19:R19,1,MATCH(Parametres!$B$3,G$1:R$1,0)-1)*IF(OR(F19="L",F19="S",F19="I"),-1,1),"")</f>
        <v>0</v>
      </c>
      <c r="AM19" s="905">
        <f t="shared" si="1"/>
        <v>0</v>
      </c>
      <c r="AN19" s="905">
        <f>INDEX(G19:R19,1,MATCH(Parametres!$B$3,G$1:R$1,0))*IF(OR(F19="L",F19="S",F19="I"),-1,1)</f>
        <v>0</v>
      </c>
      <c r="AO19" s="487" t="e">
        <f>+VLOOKUP($AJ19,Data_Validation!$A:$D,1,0)</f>
        <v>#N/A</v>
      </c>
      <c r="AP19" s="487" t="e">
        <f>+VLOOKUP($AJ19,Data_Validation!$A:$D,3,0)</f>
        <v>#N/A</v>
      </c>
      <c r="AQ19" s="487" t="e">
        <f>+VLOOKUP($AJ19,Data_Validation!$A:$D,4,0)</f>
        <v>#N/A</v>
      </c>
      <c r="AR19" s="487" t="s">
        <v>299</v>
      </c>
      <c r="AS19" s="487" t="e">
        <f>+VLOOKUP($AJ19,Data_Validation!$A:$E,5,0)</f>
        <v>#N/A</v>
      </c>
      <c r="AT19" s="904">
        <f t="shared" si="2"/>
        <v>0</v>
      </c>
      <c r="AU19" s="488">
        <f t="shared" si="2"/>
        <v>0</v>
      </c>
      <c r="AV19" s="899">
        <f>IFERROR(INDEX(V19:AG19,1,MATCH(Parametres!$B$3,V$1:AG$1,0)-1)*IF(OR(C19="L",C19="S",C19="I"),-1,1),"")</f>
        <v>0</v>
      </c>
      <c r="AW19" s="899">
        <f t="shared" si="3"/>
        <v>0</v>
      </c>
      <c r="AX19" s="899">
        <f>INDEX(V19:AG19,1,MATCH(Parametres!$B$3,V$1:AG$1,0))*IF(OR(C19="L",C19="S",C19="I"),-1,1)</f>
        <v>0</v>
      </c>
      <c r="AY19" s="487" t="s">
        <v>337</v>
      </c>
      <c r="AZ19" s="487" t="e">
        <f>+VLOOKUP($AJ19,Data_Validation!$A:$E,5,0)</f>
        <v>#N/A</v>
      </c>
    </row>
    <row r="20" spans="36:52" ht="15" customHeight="1">
      <c r="AJ20" s="899">
        <f t="shared" si="0"/>
        <v>0</v>
      </c>
      <c r="AK20" s="899">
        <f t="shared" si="0"/>
        <v>0</v>
      </c>
      <c r="AL20" s="905">
        <f>IFERROR(INDEX(G20:R20,1,MATCH(Parametres!$B$3,G$1:R$1,0)-1)*IF(OR(F20="L",F20="S",F20="I"),-1,1),"")</f>
        <v>0</v>
      </c>
      <c r="AM20" s="905">
        <f t="shared" si="1"/>
        <v>0</v>
      </c>
      <c r="AN20" s="905">
        <f>INDEX(G20:R20,1,MATCH(Parametres!$B$3,G$1:R$1,0))*IF(OR(F20="L",F20="S",F20="I"),-1,1)</f>
        <v>0</v>
      </c>
      <c r="AO20" s="487" t="e">
        <f>+VLOOKUP($AJ20,Data_Validation!$A:$D,1,0)</f>
        <v>#N/A</v>
      </c>
      <c r="AP20" s="487" t="e">
        <f>+VLOOKUP($AJ20,Data_Validation!$A:$D,3,0)</f>
        <v>#N/A</v>
      </c>
      <c r="AQ20" s="487" t="e">
        <f>+VLOOKUP($AJ20,Data_Validation!$A:$D,4,0)</f>
        <v>#N/A</v>
      </c>
      <c r="AR20" s="487" t="s">
        <v>299</v>
      </c>
      <c r="AS20" s="487" t="e">
        <f>+VLOOKUP($AJ20,Data_Validation!$A:$E,5,0)</f>
        <v>#N/A</v>
      </c>
      <c r="AT20" s="904">
        <f t="shared" si="2"/>
        <v>0</v>
      </c>
      <c r="AU20" s="488">
        <f t="shared" si="2"/>
        <v>0</v>
      </c>
      <c r="AV20" s="899">
        <f>IFERROR(INDEX(V20:AG20,1,MATCH(Parametres!$B$3,V$1:AG$1,0)-1)*IF(OR(C20="L",C20="S",C20="I"),-1,1),"")</f>
        <v>0</v>
      </c>
      <c r="AW20" s="899">
        <f t="shared" si="3"/>
        <v>0</v>
      </c>
      <c r="AX20" s="899">
        <f>INDEX(V20:AG20,1,MATCH(Parametres!$B$3,V$1:AG$1,0))*IF(OR(C20="L",C20="S",C20="I"),-1,1)</f>
        <v>0</v>
      </c>
      <c r="AY20" s="487" t="s">
        <v>337</v>
      </c>
      <c r="AZ20" s="487" t="e">
        <f>+VLOOKUP($AJ20,Data_Validation!$A:$E,5,0)</f>
        <v>#N/A</v>
      </c>
    </row>
    <row r="21" spans="36:52" ht="15" customHeight="1">
      <c r="AJ21" s="899">
        <f t="shared" si="0"/>
        <v>0</v>
      </c>
      <c r="AK21" s="899">
        <f t="shared" si="0"/>
        <v>0</v>
      </c>
      <c r="AL21" s="905">
        <f>IFERROR(INDEX(G21:R21,1,MATCH(Parametres!$B$3,G$1:R$1,0)-1)*IF(OR(F21="L",F21="S",F21="I"),-1,1),"")</f>
        <v>0</v>
      </c>
      <c r="AM21" s="905">
        <f t="shared" si="1"/>
        <v>0</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f t="shared" si="2"/>
        <v>0</v>
      </c>
      <c r="AU21" s="488">
        <f t="shared" si="2"/>
        <v>0</v>
      </c>
      <c r="AV21" s="899">
        <f>IFERROR(INDEX(V21:AG21,1,MATCH(Parametres!$B$3,V$1:AG$1,0)-1)*IF(OR(C21="L",C21="S",C21="I"),-1,1),"")</f>
        <v>0</v>
      </c>
      <c r="AW21" s="899">
        <f t="shared" si="3"/>
        <v>0</v>
      </c>
      <c r="AX21" s="899">
        <f>INDEX(V21:AG21,1,MATCH(Parametres!$B$3,V$1:AG$1,0))*IF(OR(C21="L",C21="S",C21="I"),-1,1)</f>
        <v>0</v>
      </c>
      <c r="AY21" s="487" t="s">
        <v>337</v>
      </c>
      <c r="AZ21" s="487" t="e">
        <f>+VLOOKUP($AJ21,Data_Validation!$A:$E,5,0)</f>
        <v>#N/A</v>
      </c>
    </row>
    <row r="22" spans="36:52" ht="15" customHeight="1">
      <c r="AJ22" s="899">
        <f t="shared" si="0"/>
        <v>0</v>
      </c>
      <c r="AK22" s="899">
        <f t="shared" si="0"/>
        <v>0</v>
      </c>
      <c r="AL22" s="905">
        <f>IFERROR(INDEX(G22:R22,1,MATCH(Parametres!$B$3,G$1:R$1,0)-1)*IF(OR(F22="L",F22="S",F22="I"),-1,1),"")</f>
        <v>0</v>
      </c>
      <c r="AM22" s="905">
        <f t="shared" si="1"/>
        <v>0</v>
      </c>
      <c r="AN22" s="905">
        <f>INDEX(G22:R22,1,MATCH(Parametres!$B$3,G$1:R$1,0))*IF(OR(F22="L",F22="S",F22="I"),-1,1)</f>
        <v>0</v>
      </c>
      <c r="AO22" s="487" t="e">
        <f>+VLOOKUP($AJ22,Data_Validation!$A:$D,1,0)</f>
        <v>#N/A</v>
      </c>
      <c r="AP22" s="487" t="e">
        <f>+VLOOKUP($AJ22,Data_Validation!$A:$D,3,0)</f>
        <v>#N/A</v>
      </c>
      <c r="AQ22" s="487" t="e">
        <f>+VLOOKUP($AJ22,Data_Validation!$A:$D,4,0)</f>
        <v>#N/A</v>
      </c>
      <c r="AR22" s="487" t="s">
        <v>299</v>
      </c>
      <c r="AS22" s="487" t="e">
        <f>+VLOOKUP($AJ22,Data_Validation!$A:$E,5,0)</f>
        <v>#N/A</v>
      </c>
      <c r="AT22" s="904">
        <f t="shared" si="2"/>
        <v>0</v>
      </c>
      <c r="AU22" s="488">
        <f t="shared" si="2"/>
        <v>0</v>
      </c>
      <c r="AV22" s="899">
        <f>IFERROR(INDEX(V22:AG22,1,MATCH(Parametres!$B$3,V$1:AG$1,0)-1)*IF(OR(C22="L",C22="S",C22="I"),-1,1),"")</f>
        <v>0</v>
      </c>
      <c r="AW22" s="899">
        <f t="shared" si="3"/>
        <v>0</v>
      </c>
      <c r="AX22" s="899">
        <f>INDEX(V22:AG22,1,MATCH(Parametres!$B$3,V$1:AG$1,0))*IF(OR(C22="L",C22="S",C22="I"),-1,1)</f>
        <v>0</v>
      </c>
      <c r="AY22" s="487" t="s">
        <v>337</v>
      </c>
      <c r="AZ22" s="487" t="e">
        <f>+VLOOKUP($AJ22,Data_Validation!$A:$E,5,0)</f>
        <v>#N/A</v>
      </c>
    </row>
    <row r="23" spans="36:52" ht="15" customHeight="1">
      <c r="AJ23" s="899">
        <f t="shared" si="0"/>
        <v>0</v>
      </c>
      <c r="AK23" s="899">
        <f t="shared" si="0"/>
        <v>0</v>
      </c>
      <c r="AL23" s="905">
        <f>IFERROR(INDEX(G23:R23,1,MATCH(Parametres!$B$3,G$1:R$1,0)-1)*IF(OR(F23="L",F23="S",F23="I"),-1,1),"")</f>
        <v>0</v>
      </c>
      <c r="AM23" s="905">
        <f t="shared" si="1"/>
        <v>0</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f t="shared" si="2"/>
        <v>0</v>
      </c>
      <c r="AU23" s="488">
        <f t="shared" si="2"/>
        <v>0</v>
      </c>
      <c r="AV23" s="899">
        <f>IFERROR(INDEX(V23:AG23,1,MATCH(Parametres!$B$3,V$1:AG$1,0)-1)*IF(OR(C23="L",C23="S",C23="I"),-1,1),"")</f>
        <v>0</v>
      </c>
      <c r="AW23" s="899">
        <f t="shared" si="3"/>
        <v>0</v>
      </c>
      <c r="AX23" s="899">
        <f>INDEX(V23:AG23,1,MATCH(Parametres!$B$3,V$1:AG$1,0))*IF(OR(C23="L",C23="S",C23="I"),-1,1)</f>
        <v>0</v>
      </c>
      <c r="AY23" s="487" t="s">
        <v>337</v>
      </c>
      <c r="AZ23" s="487" t="e">
        <f>+VLOOKUP($AJ23,Data_Validation!$A:$E,5,0)</f>
        <v>#N/A</v>
      </c>
    </row>
    <row r="24" spans="36:52" ht="15" customHeight="1">
      <c r="AJ24" s="899">
        <f t="shared" si="0"/>
        <v>0</v>
      </c>
      <c r="AK24" s="899">
        <f t="shared" si="0"/>
        <v>0</v>
      </c>
      <c r="AL24" s="905">
        <f>IFERROR(INDEX(G24:R24,1,MATCH(Parametres!$B$3,G$1:R$1,0)-1)*IF(OR(F24="L",F24="S",F24="I"),-1,1),"")</f>
        <v>0</v>
      </c>
      <c r="AM24" s="905">
        <f t="shared" si="1"/>
        <v>0</v>
      </c>
      <c r="AN24" s="905">
        <f>INDEX(G24:R24,1,MATCH(Parametres!$B$3,G$1:R$1,0))*IF(OR(F24="L",F24="S",F24="I"),-1,1)</f>
        <v>0</v>
      </c>
      <c r="AO24" s="487" t="e">
        <f>+VLOOKUP($AJ24,Data_Validation!$A:$D,1,0)</f>
        <v>#N/A</v>
      </c>
      <c r="AP24" s="487" t="e">
        <f>+VLOOKUP($AJ24,Data_Validation!$A:$D,3,0)</f>
        <v>#N/A</v>
      </c>
      <c r="AQ24" s="487" t="e">
        <f>+VLOOKUP($AJ24,Data_Validation!$A:$D,4,0)</f>
        <v>#N/A</v>
      </c>
      <c r="AR24" s="487" t="s">
        <v>299</v>
      </c>
      <c r="AS24" s="487" t="e">
        <f>+VLOOKUP($AJ24,Data_Validation!$A:$E,5,0)</f>
        <v>#N/A</v>
      </c>
      <c r="AT24" s="904">
        <f t="shared" si="2"/>
        <v>0</v>
      </c>
      <c r="AU24" s="488">
        <f t="shared" si="2"/>
        <v>0</v>
      </c>
      <c r="AV24" s="899">
        <f>IFERROR(INDEX(V24:AG24,1,MATCH(Parametres!$B$3,V$1:AG$1,0)-1)*IF(OR(C24="L",C24="S",C24="I"),-1,1),"")</f>
        <v>0</v>
      </c>
      <c r="AW24" s="899">
        <f t="shared" si="3"/>
        <v>0</v>
      </c>
      <c r="AX24" s="899">
        <f>INDEX(V24:AG24,1,MATCH(Parametres!$B$3,V$1:AG$1,0))*IF(OR(C24="L",C24="S",C24="I"),-1,1)</f>
        <v>0</v>
      </c>
      <c r="AY24" s="487" t="s">
        <v>337</v>
      </c>
      <c r="AZ24" s="487" t="e">
        <f>+VLOOKUP($AJ24,Data_Validation!$A:$E,5,0)</f>
        <v>#N/A</v>
      </c>
    </row>
    <row r="25" spans="36:52" ht="15" customHeight="1">
      <c r="AJ25" s="899">
        <f t="shared" si="0"/>
        <v>0</v>
      </c>
      <c r="AK25" s="899">
        <f t="shared" si="0"/>
        <v>0</v>
      </c>
      <c r="AL25" s="905">
        <f>IFERROR(INDEX(G25:R25,1,MATCH(Parametres!$B$3,G$1:R$1,0)-1)*IF(OR(F25="L",F25="S",F25="I"),-1,1),"")</f>
        <v>0</v>
      </c>
      <c r="AM25" s="905">
        <f t="shared" si="1"/>
        <v>0</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f t="shared" si="2"/>
        <v>0</v>
      </c>
      <c r="AU25" s="488">
        <f t="shared" si="2"/>
        <v>0</v>
      </c>
      <c r="AV25" s="899">
        <f>IFERROR(INDEX(V25:AG25,1,MATCH(Parametres!$B$3,V$1:AG$1,0)-1)*IF(OR(C25="L",C25="S",C25="I"),-1,1),"")</f>
        <v>0</v>
      </c>
      <c r="AW25" s="899">
        <f t="shared" si="3"/>
        <v>0</v>
      </c>
      <c r="AX25" s="899">
        <f>INDEX(V25:AG25,1,MATCH(Parametres!$B$3,V$1:AG$1,0))*IF(OR(C25="L",C25="S",C25="I"),-1,1)</f>
        <v>0</v>
      </c>
      <c r="AY25" s="487" t="s">
        <v>337</v>
      </c>
      <c r="AZ25" s="487" t="e">
        <f>+VLOOKUP($AJ25,Data_Validation!$A:$E,5,0)</f>
        <v>#N/A</v>
      </c>
    </row>
    <row r="26" spans="36:52" ht="15.75" customHeight="1">
      <c r="AJ26" s="899">
        <f t="shared" si="0"/>
        <v>0</v>
      </c>
      <c r="AK26" s="899">
        <f t="shared" si="0"/>
        <v>0</v>
      </c>
      <c r="AL26" s="905">
        <f>IFERROR(INDEX(G26:R26,1,MATCH(Parametres!$B$3,G$1:R$1,0)-1)*IF(OR(F26="L",F26="S",F26="I"),-1,1),"")</f>
        <v>0</v>
      </c>
      <c r="AM26" s="905">
        <f t="shared" si="1"/>
        <v>0</v>
      </c>
      <c r="AN26" s="905">
        <f>INDEX(G26:R26,1,MATCH(Parametres!$B$3,G$1:R$1,0))*IF(OR(F26="L",F26="S",F26="I"),-1,1)</f>
        <v>0</v>
      </c>
      <c r="AO26" s="487" t="e">
        <f>+VLOOKUP($AJ26,Data_Validation!$A:$D,1,0)</f>
        <v>#N/A</v>
      </c>
      <c r="AP26" s="487" t="e">
        <f>+VLOOKUP($AJ26,Data_Validation!$A:$D,3,0)</f>
        <v>#N/A</v>
      </c>
      <c r="AQ26" s="487" t="e">
        <f>+VLOOKUP($AJ26,Data_Validation!$A:$D,4,0)</f>
        <v>#N/A</v>
      </c>
      <c r="AR26" s="487" t="s">
        <v>299</v>
      </c>
      <c r="AS26" s="487" t="e">
        <f>+VLOOKUP($AJ26,Data_Validation!$A:$E,5,0)</f>
        <v>#N/A</v>
      </c>
      <c r="AT26" s="904">
        <f t="shared" si="2"/>
        <v>0</v>
      </c>
      <c r="AU26" s="488">
        <f t="shared" si="2"/>
        <v>0</v>
      </c>
      <c r="AV26" s="899">
        <f>IFERROR(INDEX(V26:AG26,1,MATCH(Parametres!$B$3,V$1:AG$1,0)-1)*IF(OR(C26="L",C26="S",C26="I"),-1,1),"")</f>
        <v>0</v>
      </c>
      <c r="AW26" s="899">
        <f t="shared" si="3"/>
        <v>0</v>
      </c>
      <c r="AX26" s="899">
        <f>INDEX(V26:AG26,1,MATCH(Parametres!$B$3,V$1:AG$1,0))*IF(OR(C26="L",C26="S",C26="I"),-1,1)</f>
        <v>0</v>
      </c>
      <c r="AY26" s="487" t="s">
        <v>337</v>
      </c>
      <c r="AZ26" s="487" t="e">
        <f>+VLOOKUP($AJ26,Data_Validation!$A:$E,5,0)</f>
        <v>#N/A</v>
      </c>
    </row>
    <row r="27" spans="36:52" ht="15" customHeight="1">
      <c r="AJ27" s="899">
        <f t="shared" si="0"/>
        <v>0</v>
      </c>
      <c r="AK27" s="899">
        <f t="shared" si="0"/>
        <v>0</v>
      </c>
      <c r="AL27" s="905">
        <f>IFERROR(INDEX(G27:R27,1,MATCH(Parametres!$B$3,G$1:R$1,0)-1)*IF(OR(F27="L",F27="S",F27="I"),-1,1),"")</f>
        <v>0</v>
      </c>
      <c r="AM27" s="905">
        <f t="shared" si="1"/>
        <v>0</v>
      </c>
      <c r="AN27" s="905">
        <f>INDEX(G27:R27,1,MATCH(Parametres!$B$3,G$1:R$1,0))*IF(OR(F27="L",F27="S",F27="I"),-1,1)</f>
        <v>0</v>
      </c>
      <c r="AO27" s="487" t="e">
        <f>+VLOOKUP($AJ27,Data_Validation!$A:$D,1,0)</f>
        <v>#N/A</v>
      </c>
      <c r="AP27" s="487" t="e">
        <f>+VLOOKUP($AJ27,Data_Validation!$A:$D,3,0)</f>
        <v>#N/A</v>
      </c>
      <c r="AQ27" s="487" t="e">
        <f>+VLOOKUP($AJ27,Data_Validation!$A:$D,4,0)</f>
        <v>#N/A</v>
      </c>
      <c r="AR27" s="487" t="s">
        <v>299</v>
      </c>
      <c r="AS27" s="487" t="e">
        <f>+VLOOKUP($AJ27,Data_Validation!$A:$E,5,0)</f>
        <v>#N/A</v>
      </c>
      <c r="AT27" s="904">
        <f t="shared" si="2"/>
        <v>0</v>
      </c>
      <c r="AU27" s="488">
        <f t="shared" si="2"/>
        <v>0</v>
      </c>
      <c r="AV27" s="899">
        <f>IFERROR(INDEX(V27:AG27,1,MATCH(Parametres!$B$3,V$1:AG$1,0)-1)*IF(OR(C27="L",C27="S",C27="I"),-1,1),"")</f>
        <v>0</v>
      </c>
      <c r="AW27" s="899">
        <f t="shared" si="3"/>
        <v>0</v>
      </c>
      <c r="AX27" s="899">
        <f>INDEX(V27:AG27,1,MATCH(Parametres!$B$3,V$1:AG$1,0))*IF(OR(C27="L",C27="S",C27="I"),-1,1)</f>
        <v>0</v>
      </c>
      <c r="AY27" s="487" t="s">
        <v>337</v>
      </c>
      <c r="AZ27" s="487" t="e">
        <f>+VLOOKUP($AJ27,Data_Validation!$A:$E,5,0)</f>
        <v>#N/A</v>
      </c>
    </row>
    <row r="28" spans="36:52" ht="15" customHeight="1">
      <c r="AJ28" s="899">
        <f t="shared" si="0"/>
        <v>0</v>
      </c>
      <c r="AK28" s="899">
        <f t="shared" si="0"/>
        <v>0</v>
      </c>
      <c r="AL28" s="905">
        <f>IFERROR(INDEX(G28:R28,1,MATCH(Parametres!$B$3,G$1:R$1,0)-1)*IF(OR(F28="L",F28="S",F28="I"),-1,1),"")</f>
        <v>0</v>
      </c>
      <c r="AM28" s="905">
        <f t="shared" si="1"/>
        <v>0</v>
      </c>
      <c r="AN28" s="905">
        <f>INDEX(G28:R28,1,MATCH(Parametres!$B$3,G$1:R$1,0))*IF(OR(F28="L",F28="S",F28="I"),-1,1)</f>
        <v>0</v>
      </c>
      <c r="AO28" s="487" t="e">
        <f>+VLOOKUP($AJ28,Data_Validation!$A:$D,1,0)</f>
        <v>#N/A</v>
      </c>
      <c r="AP28" s="487" t="e">
        <f>+VLOOKUP($AJ28,Data_Validation!$A:$D,3,0)</f>
        <v>#N/A</v>
      </c>
      <c r="AQ28" s="487" t="e">
        <f>+VLOOKUP($AJ28,Data_Validation!$A:$D,4,0)</f>
        <v>#N/A</v>
      </c>
      <c r="AR28" s="487" t="s">
        <v>299</v>
      </c>
      <c r="AS28" s="487" t="e">
        <f>+VLOOKUP($AJ28,Data_Validation!$A:$E,5,0)</f>
        <v>#N/A</v>
      </c>
      <c r="AT28" s="904">
        <f t="shared" si="2"/>
        <v>0</v>
      </c>
      <c r="AU28" s="488">
        <f t="shared" si="2"/>
        <v>0</v>
      </c>
      <c r="AV28" s="899">
        <f>IFERROR(INDEX(V28:AG28,1,MATCH(Parametres!$B$3,V$1:AG$1,0)-1)*IF(OR(C28="L",C28="S",C28="I"),-1,1),"")</f>
        <v>0</v>
      </c>
      <c r="AW28" s="899">
        <f t="shared" si="3"/>
        <v>0</v>
      </c>
      <c r="AX28" s="899">
        <f>INDEX(V28:AG28,1,MATCH(Parametres!$B$3,V$1:AG$1,0))*IF(OR(C28="L",C28="S",C28="I"),-1,1)</f>
        <v>0</v>
      </c>
      <c r="AY28" s="487" t="s">
        <v>337</v>
      </c>
      <c r="AZ28" s="487" t="e">
        <f>+VLOOKUP($AJ28,Data_Validation!$A:$E,5,0)</f>
        <v>#N/A</v>
      </c>
    </row>
    <row r="29" spans="36:52" ht="15" customHeight="1">
      <c r="AJ29" s="899">
        <f t="shared" si="0"/>
        <v>0</v>
      </c>
      <c r="AK29" s="899">
        <f t="shared" si="0"/>
        <v>0</v>
      </c>
      <c r="AL29" s="905">
        <f>IFERROR(INDEX(G29:R29,1,MATCH(Parametres!$B$3,G$1:R$1,0)-1)*IF(OR(F29="L",F29="S",F29="I"),-1,1),"")</f>
        <v>0</v>
      </c>
      <c r="AM29" s="905">
        <f t="shared" si="1"/>
        <v>0</v>
      </c>
      <c r="AN29" s="905">
        <f>INDEX(G29:R29,1,MATCH(Parametres!$B$3,G$1:R$1,0))*IF(OR(F29="L",F29="S",F29="I"),-1,1)</f>
        <v>0</v>
      </c>
      <c r="AO29" s="487" t="e">
        <f>+VLOOKUP($AJ29,Data_Validation!$A:$D,1,0)</f>
        <v>#N/A</v>
      </c>
      <c r="AP29" s="487" t="e">
        <f>+VLOOKUP($AJ29,Data_Validation!$A:$D,3,0)</f>
        <v>#N/A</v>
      </c>
      <c r="AQ29" s="487" t="e">
        <f>+VLOOKUP($AJ29,Data_Validation!$A:$D,4,0)</f>
        <v>#N/A</v>
      </c>
      <c r="AR29" s="487" t="s">
        <v>299</v>
      </c>
      <c r="AS29" s="487" t="e">
        <f>+VLOOKUP($AJ29,Data_Validation!$A:$E,5,0)</f>
        <v>#N/A</v>
      </c>
      <c r="AT29" s="904">
        <f t="shared" si="2"/>
        <v>0</v>
      </c>
      <c r="AU29" s="488">
        <f t="shared" si="2"/>
        <v>0</v>
      </c>
      <c r="AV29" s="899">
        <f>IFERROR(INDEX(V29:AG29,1,MATCH(Parametres!$B$3,V$1:AG$1,0)-1)*IF(OR(C29="L",C29="S",C29="I"),-1,1),"")</f>
        <v>0</v>
      </c>
      <c r="AW29" s="899">
        <f t="shared" si="3"/>
        <v>0</v>
      </c>
      <c r="AX29" s="899">
        <f>INDEX(V29:AG29,1,MATCH(Parametres!$B$3,V$1:AG$1,0))*IF(OR(C29="L",C29="S",C29="I"),-1,1)</f>
        <v>0</v>
      </c>
      <c r="AY29" s="487" t="s">
        <v>337</v>
      </c>
      <c r="AZ29" s="487" t="e">
        <f>+VLOOKUP($AJ29,Data_Validation!$A:$E,5,0)</f>
        <v>#N/A</v>
      </c>
    </row>
    <row r="30" spans="36:52" ht="15" customHeight="1">
      <c r="AJ30" s="899">
        <f t="shared" si="0"/>
        <v>0</v>
      </c>
      <c r="AK30" s="899">
        <f t="shared" si="0"/>
        <v>0</v>
      </c>
      <c r="AL30" s="905">
        <f>IFERROR(INDEX(G30:R30,1,MATCH(Parametres!$B$3,G$1:R$1,0)-1)*IF(OR(F30="L",F30="S",F30="I"),-1,1),"")</f>
        <v>0</v>
      </c>
      <c r="AM30" s="905">
        <f t="shared" si="1"/>
        <v>0</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f t="shared" si="2"/>
        <v>0</v>
      </c>
      <c r="AU30" s="488">
        <f t="shared" si="2"/>
        <v>0</v>
      </c>
      <c r="AV30" s="899">
        <f>IFERROR(INDEX(V30:AG30,1,MATCH(Parametres!$B$3,V$1:AG$1,0)-1)*IF(OR(C30="L",C30="S",C30="I"),-1,1),"")</f>
        <v>0</v>
      </c>
      <c r="AW30" s="899">
        <f t="shared" si="3"/>
        <v>0</v>
      </c>
      <c r="AX30" s="899">
        <f>INDEX(V30:AG30,1,MATCH(Parametres!$B$3,V$1:AG$1,0))*IF(OR(C30="L",C30="S",C30="I"),-1,1)</f>
        <v>0</v>
      </c>
      <c r="AY30" s="487" t="s">
        <v>337</v>
      </c>
      <c r="AZ30" s="487" t="e">
        <f>+VLOOKUP($AJ30,Data_Validation!$A:$E,5,0)</f>
        <v>#N/A</v>
      </c>
    </row>
    <row r="31" spans="36:52" ht="15" customHeight="1">
      <c r="AJ31" s="899">
        <f t="shared" si="0"/>
        <v>0</v>
      </c>
      <c r="AK31" s="899">
        <f t="shared" si="0"/>
        <v>0</v>
      </c>
      <c r="AL31" s="905">
        <f>IFERROR(INDEX(G31:R31,1,MATCH(Parametres!$B$3,G$1:R$1,0)-1)*IF(OR(F31="L",F31="S",F31="I"),-1,1),"")</f>
        <v>0</v>
      </c>
      <c r="AM31" s="905">
        <f t="shared" si="1"/>
        <v>0</v>
      </c>
      <c r="AN31" s="905">
        <f>INDEX(G31:R31,1,MATCH(Parametres!$B$3,G$1:R$1,0))*IF(OR(F31="L",F31="S",F31="I"),-1,1)</f>
        <v>0</v>
      </c>
      <c r="AO31" s="487" t="e">
        <f>+VLOOKUP($AJ31,Data_Validation!$A:$D,1,0)</f>
        <v>#N/A</v>
      </c>
      <c r="AP31" s="487" t="e">
        <f>+VLOOKUP($AJ31,Data_Validation!$A:$D,3,0)</f>
        <v>#N/A</v>
      </c>
      <c r="AQ31" s="487" t="e">
        <f>+VLOOKUP($AJ31,Data_Validation!$A:$D,4,0)</f>
        <v>#N/A</v>
      </c>
      <c r="AR31" s="487" t="s">
        <v>299</v>
      </c>
      <c r="AS31" s="487" t="e">
        <f>+VLOOKUP($AJ31,Data_Validation!$A:$E,5,0)</f>
        <v>#N/A</v>
      </c>
      <c r="AT31" s="904">
        <f t="shared" si="2"/>
        <v>0</v>
      </c>
      <c r="AU31" s="488">
        <f t="shared" si="2"/>
        <v>0</v>
      </c>
      <c r="AV31" s="899">
        <f>IFERROR(INDEX(V31:AG31,1,MATCH(Parametres!$B$3,V$1:AG$1,0)-1)*IF(OR(C31="L",C31="S",C31="I"),-1,1),"")</f>
        <v>0</v>
      </c>
      <c r="AW31" s="899">
        <f t="shared" si="3"/>
        <v>0</v>
      </c>
      <c r="AX31" s="899">
        <f>INDEX(V31:AG31,1,MATCH(Parametres!$B$3,V$1:AG$1,0))*IF(OR(C31="L",C31="S",C31="I"),-1,1)</f>
        <v>0</v>
      </c>
      <c r="AY31" s="487" t="s">
        <v>337</v>
      </c>
      <c r="AZ31" s="487" t="e">
        <f>+VLOOKUP($AJ31,Data_Validation!$A:$E,5,0)</f>
        <v>#N/A</v>
      </c>
    </row>
    <row r="32" spans="36:52" ht="15" customHeight="1">
      <c r="AJ32" s="899">
        <f t="shared" si="0"/>
        <v>0</v>
      </c>
      <c r="AK32" s="899">
        <f t="shared" si="0"/>
        <v>0</v>
      </c>
      <c r="AL32" s="905">
        <f>IFERROR(INDEX(G32:R32,1,MATCH(Parametres!$B$3,G$1:R$1,0)-1)*IF(OR(F32="L",F32="S",F32="I"),-1,1),"")</f>
        <v>0</v>
      </c>
      <c r="AM32" s="905">
        <f t="shared" si="1"/>
        <v>0</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f t="shared" si="2"/>
        <v>0</v>
      </c>
      <c r="AU32" s="488">
        <f t="shared" si="2"/>
        <v>0</v>
      </c>
      <c r="AV32" s="899">
        <f>IFERROR(INDEX(V32:AG32,1,MATCH(Parametres!$B$3,V$1:AG$1,0)-1)*IF(OR(C32="L",C32="S",C32="I"),-1,1),"")</f>
        <v>0</v>
      </c>
      <c r="AW32" s="899">
        <f t="shared" si="3"/>
        <v>0</v>
      </c>
      <c r="AX32" s="899">
        <f>INDEX(V32:AG32,1,MATCH(Parametres!$B$3,V$1:AG$1,0))*IF(OR(C32="L",C32="S",C32="I"),-1,1)</f>
        <v>0</v>
      </c>
      <c r="AY32" s="487" t="s">
        <v>337</v>
      </c>
      <c r="AZ32" s="487" t="e">
        <f>+VLOOKUP($AJ32,Data_Validation!$A:$E,5,0)</f>
        <v>#N/A</v>
      </c>
    </row>
    <row r="33" spans="36:52" ht="15" customHeight="1">
      <c r="AJ33" s="899">
        <f t="shared" si="0"/>
        <v>0</v>
      </c>
      <c r="AK33" s="899">
        <f t="shared" si="0"/>
        <v>0</v>
      </c>
      <c r="AL33" s="905">
        <f>IFERROR(INDEX(G33:R33,1,MATCH(Parametres!$B$3,G$1:R$1,0)-1)*IF(OR(F33="L",F33="S",F33="I"),-1,1),"")</f>
        <v>0</v>
      </c>
      <c r="AM33" s="905">
        <f t="shared" si="1"/>
        <v>0</v>
      </c>
      <c r="AN33" s="905">
        <f>INDEX(G33:R33,1,MATCH(Parametres!$B$3,G$1:R$1,0))*IF(OR(F33="L",F33="S",F33="I"),-1,1)</f>
        <v>0</v>
      </c>
      <c r="AO33" s="487" t="e">
        <f>+VLOOKUP($AJ33,Data_Validation!$A:$D,1,0)</f>
        <v>#N/A</v>
      </c>
      <c r="AP33" s="487" t="e">
        <f>+VLOOKUP($AJ33,Data_Validation!$A:$D,3,0)</f>
        <v>#N/A</v>
      </c>
      <c r="AQ33" s="487" t="e">
        <f>+VLOOKUP($AJ33,Data_Validation!$A:$D,4,0)</f>
        <v>#N/A</v>
      </c>
      <c r="AR33" s="487" t="s">
        <v>299</v>
      </c>
      <c r="AS33" s="487" t="e">
        <f>+VLOOKUP($AJ33,Data_Validation!$A:$E,5,0)</f>
        <v>#N/A</v>
      </c>
      <c r="AT33" s="904">
        <f t="shared" si="2"/>
        <v>0</v>
      </c>
      <c r="AU33" s="488">
        <f t="shared" si="2"/>
        <v>0</v>
      </c>
      <c r="AV33" s="899">
        <f>IFERROR(INDEX(V33:AG33,1,MATCH(Parametres!$B$3,V$1:AG$1,0)-1)*IF(OR(C33="L",C33="S",C33="I"),-1,1),"")</f>
        <v>0</v>
      </c>
      <c r="AW33" s="899">
        <f t="shared" si="3"/>
        <v>0</v>
      </c>
      <c r="AX33" s="899">
        <f>INDEX(V33:AG33,1,MATCH(Parametres!$B$3,V$1:AG$1,0))*IF(OR(C33="L",C33="S",C33="I"),-1,1)</f>
        <v>0</v>
      </c>
      <c r="AY33" s="487" t="s">
        <v>337</v>
      </c>
      <c r="AZ33" s="487" t="e">
        <f>+VLOOKUP($AJ33,Data_Validation!$A:$E,5,0)</f>
        <v>#N/A</v>
      </c>
    </row>
    <row r="34" spans="36:52" ht="15.75" customHeight="1">
      <c r="AJ34" s="899">
        <f t="shared" si="0"/>
        <v>0</v>
      </c>
      <c r="AK34" s="899">
        <f t="shared" si="0"/>
        <v>0</v>
      </c>
      <c r="AL34" s="905">
        <f>IFERROR(INDEX(G34:R34,1,MATCH(Parametres!$B$3,G$1:R$1,0)-1)*IF(OR(F34="L",F34="S",F34="I"),-1,1),"")</f>
        <v>0</v>
      </c>
      <c r="AM34" s="905">
        <f t="shared" si="1"/>
        <v>0</v>
      </c>
      <c r="AN34" s="905">
        <f>INDEX(G34:R34,1,MATCH(Parametres!$B$3,G$1:R$1,0))*IF(OR(F34="L",F34="S",F34="I"),-1,1)</f>
        <v>0</v>
      </c>
      <c r="AO34" s="487" t="e">
        <f>+VLOOKUP($AJ34,Data_Validation!$A:$D,1,0)</f>
        <v>#N/A</v>
      </c>
      <c r="AP34" s="487" t="e">
        <f>+VLOOKUP($AJ34,Data_Validation!$A:$D,3,0)</f>
        <v>#N/A</v>
      </c>
      <c r="AQ34" s="487" t="e">
        <f>+VLOOKUP($AJ34,Data_Validation!$A:$D,4,0)</f>
        <v>#N/A</v>
      </c>
      <c r="AR34" s="487" t="s">
        <v>299</v>
      </c>
      <c r="AS34" s="487" t="e">
        <f>+VLOOKUP($AJ34,Data_Validation!$A:$E,5,0)</f>
        <v>#N/A</v>
      </c>
      <c r="AT34" s="904">
        <f t="shared" si="2"/>
        <v>0</v>
      </c>
      <c r="AU34" s="488">
        <f t="shared" si="2"/>
        <v>0</v>
      </c>
      <c r="AV34" s="899">
        <f>IFERROR(INDEX(V34:AG34,1,MATCH(Parametres!$B$3,V$1:AG$1,0)-1)*IF(OR(C34="L",C34="S",C34="I"),-1,1),"")</f>
        <v>0</v>
      </c>
      <c r="AW34" s="899">
        <f t="shared" si="3"/>
        <v>0</v>
      </c>
      <c r="AX34" s="899">
        <f>INDEX(V34:AG34,1,MATCH(Parametres!$B$3,V$1:AG$1,0))*IF(OR(C34="L",C34="S",C34="I"),-1,1)</f>
        <v>0</v>
      </c>
      <c r="AY34" s="487" t="s">
        <v>337</v>
      </c>
      <c r="AZ34" s="487" t="e">
        <f>+VLOOKUP($AJ34,Data_Validation!$A:$E,5,0)</f>
        <v>#N/A</v>
      </c>
    </row>
    <row r="35" spans="36:52" ht="15" customHeight="1">
      <c r="AJ35" s="899">
        <f t="shared" si="0"/>
        <v>0</v>
      </c>
      <c r="AK35" s="899">
        <f t="shared" si="0"/>
        <v>0</v>
      </c>
      <c r="AL35" s="905">
        <f>IFERROR(INDEX(G35:R35,1,MATCH(Parametres!$B$3,G$1:R$1,0)-1)*IF(OR(F35="L",F35="S",F35="I"),-1,1),"")</f>
        <v>0</v>
      </c>
      <c r="AM35" s="905">
        <f t="shared" si="1"/>
        <v>0</v>
      </c>
      <c r="AN35" s="905">
        <f>INDEX(G35:R35,1,MATCH(Parametres!$B$3,G$1:R$1,0))*IF(OR(F35="L",F35="S",F35="I"),-1,1)</f>
        <v>0</v>
      </c>
      <c r="AO35" s="487" t="e">
        <f>+VLOOKUP($AJ35,Data_Validation!$A:$D,1,0)</f>
        <v>#N/A</v>
      </c>
      <c r="AP35" s="487" t="e">
        <f>+VLOOKUP($AJ35,Data_Validation!$A:$D,3,0)</f>
        <v>#N/A</v>
      </c>
      <c r="AQ35" s="487" t="e">
        <f>+VLOOKUP($AJ35,Data_Validation!$A:$D,4,0)</f>
        <v>#N/A</v>
      </c>
      <c r="AR35" s="487" t="s">
        <v>299</v>
      </c>
      <c r="AS35" s="487" t="e">
        <f>+VLOOKUP($AJ35,Data_Validation!$A:$E,5,0)</f>
        <v>#N/A</v>
      </c>
      <c r="AT35" s="904">
        <f t="shared" si="2"/>
        <v>0</v>
      </c>
      <c r="AU35" s="488">
        <f t="shared" si="2"/>
        <v>0</v>
      </c>
      <c r="AV35" s="899">
        <f>IFERROR(INDEX(V35:AG35,1,MATCH(Parametres!$B$3,V$1:AG$1,0)-1)*IF(OR(C35="L",C35="S",C35="I"),-1,1),"")</f>
        <v>0</v>
      </c>
      <c r="AW35" s="899">
        <f t="shared" si="3"/>
        <v>0</v>
      </c>
      <c r="AX35" s="899">
        <f>INDEX(V35:AG35,1,MATCH(Parametres!$B$3,V$1:AG$1,0))*IF(OR(C35="L",C35="S",C35="I"),-1,1)</f>
        <v>0</v>
      </c>
      <c r="AY35" s="487" t="s">
        <v>337</v>
      </c>
      <c r="AZ35" s="487" t="e">
        <f>+VLOOKUP($AJ35,Data_Validation!$A:$E,5,0)</f>
        <v>#N/A</v>
      </c>
    </row>
    <row r="36" spans="36:52" ht="15" customHeight="1">
      <c r="AJ36" s="899">
        <f t="shared" si="0"/>
        <v>0</v>
      </c>
      <c r="AK36" s="899">
        <f t="shared" si="0"/>
        <v>0</v>
      </c>
      <c r="AL36" s="905">
        <f>IFERROR(INDEX(G36:R36,1,MATCH(Parametres!$B$3,G$1:R$1,0)-1)*IF(OR(F36="L",F36="S",F36="I"),-1,1),"")</f>
        <v>0</v>
      </c>
      <c r="AM36" s="905">
        <f t="shared" si="1"/>
        <v>0</v>
      </c>
      <c r="AN36" s="905">
        <f>INDEX(G36:R36,1,MATCH(Parametres!$B$3,G$1:R$1,0))*IF(OR(F36="L",F36="S",F36="I"),-1,1)</f>
        <v>0</v>
      </c>
      <c r="AO36" s="487" t="e">
        <f>+VLOOKUP($AJ36,Data_Validation!$A:$D,1,0)</f>
        <v>#N/A</v>
      </c>
      <c r="AP36" s="487" t="e">
        <f>+VLOOKUP($AJ36,Data_Validation!$A:$D,3,0)</f>
        <v>#N/A</v>
      </c>
      <c r="AQ36" s="487" t="e">
        <f>+VLOOKUP($AJ36,Data_Validation!$A:$D,4,0)</f>
        <v>#N/A</v>
      </c>
      <c r="AR36" s="487" t="s">
        <v>299</v>
      </c>
      <c r="AS36" s="487" t="e">
        <f>+VLOOKUP($AJ36,Data_Validation!$A:$E,5,0)</f>
        <v>#N/A</v>
      </c>
      <c r="AT36" s="904">
        <f t="shared" si="2"/>
        <v>0</v>
      </c>
      <c r="AU36" s="488">
        <f t="shared" si="2"/>
        <v>0</v>
      </c>
      <c r="AV36" s="899">
        <f>IFERROR(INDEX(V36:AG36,1,MATCH(Parametres!$B$3,V$1:AG$1,0)-1)*IF(OR(C36="L",C36="S",C36="I"),-1,1),"")</f>
        <v>0</v>
      </c>
      <c r="AW36" s="899">
        <f t="shared" si="3"/>
        <v>0</v>
      </c>
      <c r="AX36" s="899">
        <f>INDEX(V36:AG36,1,MATCH(Parametres!$B$3,V$1:AG$1,0))*IF(OR(C36="L",C36="S",C36="I"),-1,1)</f>
        <v>0</v>
      </c>
      <c r="AY36" s="487" t="s">
        <v>337</v>
      </c>
      <c r="AZ36" s="487" t="e">
        <f>+VLOOKUP($AJ36,Data_Validation!$A:$E,5,0)</f>
        <v>#N/A</v>
      </c>
    </row>
    <row r="37" spans="36:52" ht="15" customHeight="1">
      <c r="AJ37" s="899">
        <f t="shared" si="0"/>
        <v>0</v>
      </c>
      <c r="AK37" s="899">
        <f t="shared" si="0"/>
        <v>0</v>
      </c>
      <c r="AL37" s="905">
        <f>IFERROR(INDEX(G37:R37,1,MATCH(Parametres!$B$3,G$1:R$1,0)-1)*IF(OR(F37="L",F37="S",F37="I"),-1,1),"")</f>
        <v>0</v>
      </c>
      <c r="AM37" s="905">
        <f t="shared" si="1"/>
        <v>0</v>
      </c>
      <c r="AN37" s="905">
        <f>INDEX(G37:R37,1,MATCH(Parametres!$B$3,G$1:R$1,0))*IF(OR(F37="L",F37="S",F37="I"),-1,1)</f>
        <v>0</v>
      </c>
      <c r="AO37" s="487" t="e">
        <f>+VLOOKUP($AJ37,Data_Validation!$A:$D,1,0)</f>
        <v>#N/A</v>
      </c>
      <c r="AP37" s="487" t="e">
        <f>+VLOOKUP($AJ37,Data_Validation!$A:$D,3,0)</f>
        <v>#N/A</v>
      </c>
      <c r="AQ37" s="487" t="e">
        <f>+VLOOKUP($AJ37,Data_Validation!$A:$D,4,0)</f>
        <v>#N/A</v>
      </c>
      <c r="AR37" s="487" t="s">
        <v>299</v>
      </c>
      <c r="AS37" s="487" t="e">
        <f>+VLOOKUP($AJ37,Data_Validation!$A:$E,5,0)</f>
        <v>#N/A</v>
      </c>
      <c r="AT37" s="904">
        <f t="shared" si="2"/>
        <v>0</v>
      </c>
      <c r="AU37" s="488">
        <f t="shared" si="2"/>
        <v>0</v>
      </c>
      <c r="AV37" s="899">
        <f>IFERROR(INDEX(V37:AG37,1,MATCH(Parametres!$B$3,V$1:AG$1,0)-1)*IF(OR(C37="L",C37="S",C37="I"),-1,1),"")</f>
        <v>0</v>
      </c>
      <c r="AW37" s="899">
        <f t="shared" si="3"/>
        <v>0</v>
      </c>
      <c r="AX37" s="899">
        <f>INDEX(V37:AG37,1,MATCH(Parametres!$B$3,V$1:AG$1,0))*IF(OR(C37="L",C37="S",C37="I"),-1,1)</f>
        <v>0</v>
      </c>
      <c r="AY37" s="487" t="s">
        <v>337</v>
      </c>
      <c r="AZ37" s="487" t="e">
        <f>+VLOOKUP($AJ37,Data_Validation!$A:$E,5,0)</f>
        <v>#N/A</v>
      </c>
    </row>
    <row r="38" spans="36:52" ht="15" customHeight="1">
      <c r="AJ38" s="899">
        <f t="shared" si="0"/>
        <v>0</v>
      </c>
      <c r="AK38" s="899">
        <f t="shared" si="0"/>
        <v>0</v>
      </c>
      <c r="AL38" s="905">
        <f>IFERROR(INDEX(G38:R38,1,MATCH(Parametres!$B$3,G$1:R$1,0)-1)*IF(OR(F38="L",F38="S",F38="I"),-1,1),"")</f>
        <v>0</v>
      </c>
      <c r="AM38" s="905">
        <f t="shared" si="1"/>
        <v>0</v>
      </c>
      <c r="AN38" s="905">
        <f>INDEX(G38:R38,1,MATCH(Parametres!$B$3,G$1:R$1,0))*IF(OR(F38="L",F38="S",F38="I"),-1,1)</f>
        <v>0</v>
      </c>
      <c r="AO38" s="487" t="e">
        <f>+VLOOKUP($AJ38,Data_Validation!$A:$D,1,0)</f>
        <v>#N/A</v>
      </c>
      <c r="AP38" s="487" t="e">
        <f>+VLOOKUP($AJ38,Data_Validation!$A:$D,3,0)</f>
        <v>#N/A</v>
      </c>
      <c r="AQ38" s="487" t="e">
        <f>+VLOOKUP($AJ38,Data_Validation!$A:$D,4,0)</f>
        <v>#N/A</v>
      </c>
      <c r="AR38" s="487" t="s">
        <v>299</v>
      </c>
      <c r="AS38" s="487" t="e">
        <f>+VLOOKUP($AJ38,Data_Validation!$A:$E,5,0)</f>
        <v>#N/A</v>
      </c>
      <c r="AT38" s="904">
        <f t="shared" si="2"/>
        <v>0</v>
      </c>
      <c r="AU38" s="488">
        <f t="shared" si="2"/>
        <v>0</v>
      </c>
      <c r="AV38" s="899">
        <f>IFERROR(INDEX(V38:AG38,1,MATCH(Parametres!$B$3,V$1:AG$1,0)-1)*IF(OR(C38="L",C38="S",C38="I"),-1,1),"")</f>
        <v>0</v>
      </c>
      <c r="AW38" s="899">
        <f t="shared" si="3"/>
        <v>0</v>
      </c>
      <c r="AX38" s="899">
        <f>INDEX(V38:AG38,1,MATCH(Parametres!$B$3,V$1:AG$1,0))*IF(OR(C38="L",C38="S",C38="I"),-1,1)</f>
        <v>0</v>
      </c>
      <c r="AY38" s="487" t="s">
        <v>337</v>
      </c>
      <c r="AZ38" s="487" t="e">
        <f>+VLOOKUP($AJ38,Data_Validation!$A:$E,5,0)</f>
        <v>#N/A</v>
      </c>
    </row>
    <row r="39" spans="36:52" ht="15" customHeight="1">
      <c r="AJ39" s="899">
        <f t="shared" si="0"/>
        <v>0</v>
      </c>
      <c r="AK39" s="899">
        <f t="shared" si="0"/>
        <v>0</v>
      </c>
      <c r="AL39" s="905">
        <f>IFERROR(INDEX(G39:R39,1,MATCH(Parametres!$B$3,G$1:R$1,0)-1)*IF(OR(F39="L",F39="S",F39="I"),-1,1),"")</f>
        <v>0</v>
      </c>
      <c r="AM39" s="905">
        <f t="shared" si="1"/>
        <v>0</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f t="shared" si="2"/>
        <v>0</v>
      </c>
      <c r="AU39" s="488">
        <f t="shared" si="2"/>
        <v>0</v>
      </c>
      <c r="AV39" s="899">
        <f>IFERROR(INDEX(V39:AG39,1,MATCH(Parametres!$B$3,V$1:AG$1,0)-1)*IF(OR(C39="L",C39="S",C39="I"),-1,1),"")</f>
        <v>0</v>
      </c>
      <c r="AW39" s="899">
        <f t="shared" si="3"/>
        <v>0</v>
      </c>
      <c r="AX39" s="899">
        <f>INDEX(V39:AG39,1,MATCH(Parametres!$B$3,V$1:AG$1,0))*IF(OR(C39="L",C39="S",C39="I"),-1,1)</f>
        <v>0</v>
      </c>
      <c r="AY39" s="487" t="s">
        <v>337</v>
      </c>
      <c r="AZ39" s="487" t="e">
        <f>+VLOOKUP($AJ39,Data_Validation!$A:$E,5,0)</f>
        <v>#N/A</v>
      </c>
    </row>
    <row r="40" spans="36:52" ht="15.75" customHeight="1">
      <c r="AJ40" s="899">
        <f t="shared" si="0"/>
        <v>0</v>
      </c>
      <c r="AK40" s="899">
        <f t="shared" si="0"/>
        <v>0</v>
      </c>
      <c r="AL40" s="905">
        <f>IFERROR(INDEX(G40:R40,1,MATCH(Parametres!$B$3,G$1:R$1,0)-1)*IF(OR(F40="L",F40="S",F40="I"),-1,1),"")</f>
        <v>0</v>
      </c>
      <c r="AM40" s="905">
        <f t="shared" si="1"/>
        <v>0</v>
      </c>
      <c r="AN40" s="905">
        <f>INDEX(G40:R40,1,MATCH(Parametres!$B$3,G$1:R$1,0))*IF(OR(F40="L",F40="S",F40="I"),-1,1)</f>
        <v>0</v>
      </c>
      <c r="AO40" s="487" t="e">
        <f>+VLOOKUP($AJ40,Data_Validation!$A:$D,1,0)</f>
        <v>#N/A</v>
      </c>
      <c r="AP40" s="487" t="e">
        <f>+VLOOKUP($AJ40,Data_Validation!$A:$D,3,0)</f>
        <v>#N/A</v>
      </c>
      <c r="AQ40" s="487" t="e">
        <f>+VLOOKUP($AJ40,Data_Validation!$A:$D,4,0)</f>
        <v>#N/A</v>
      </c>
      <c r="AR40" s="487" t="s">
        <v>299</v>
      </c>
      <c r="AS40" s="487" t="e">
        <f>+VLOOKUP($AJ40,Data_Validation!$A:$E,5,0)</f>
        <v>#N/A</v>
      </c>
      <c r="AT40" s="904">
        <f t="shared" si="2"/>
        <v>0</v>
      </c>
      <c r="AU40" s="488">
        <f t="shared" si="2"/>
        <v>0</v>
      </c>
      <c r="AV40" s="899">
        <f>IFERROR(INDEX(V40:AG40,1,MATCH(Parametres!$B$3,V$1:AG$1,0)-1)*IF(OR(C40="L",C40="S",C40="I"),-1,1),"")</f>
        <v>0</v>
      </c>
      <c r="AW40" s="899">
        <f t="shared" si="3"/>
        <v>0</v>
      </c>
      <c r="AX40" s="899">
        <f>INDEX(V40:AG40,1,MATCH(Parametres!$B$3,V$1:AG$1,0))*IF(OR(C40="L",C40="S",C40="I"),-1,1)</f>
        <v>0</v>
      </c>
      <c r="AY40" s="487" t="s">
        <v>337</v>
      </c>
      <c r="AZ40" s="487" t="e">
        <f>+VLOOKUP($AJ40,Data_Validation!$A:$E,5,0)</f>
        <v>#N/A</v>
      </c>
    </row>
    <row r="41" spans="36:52" ht="15" customHeight="1">
      <c r="AJ41" s="899">
        <f t="shared" si="0"/>
        <v>0</v>
      </c>
      <c r="AK41" s="899">
        <f t="shared" si="0"/>
        <v>0</v>
      </c>
      <c r="AL41" s="905">
        <f>IFERROR(INDEX(G41:R41,1,MATCH(Parametres!$B$3,G$1:R$1,0)-1)*IF(OR(F41="L",F41="S",F41="I"),-1,1),"")</f>
        <v>0</v>
      </c>
      <c r="AM41" s="905">
        <f t="shared" si="1"/>
        <v>0</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f t="shared" si="2"/>
        <v>0</v>
      </c>
      <c r="AU41" s="488">
        <f t="shared" si="2"/>
        <v>0</v>
      </c>
      <c r="AV41" s="899">
        <f>IFERROR(INDEX(V41:AG41,1,MATCH(Parametres!$B$3,V$1:AG$1,0)-1)*IF(OR(C41="L",C41="S",C41="I"),-1,1),"")</f>
        <v>0</v>
      </c>
      <c r="AW41" s="899">
        <f t="shared" si="3"/>
        <v>0</v>
      </c>
      <c r="AX41" s="899">
        <f>INDEX(V41:AG41,1,MATCH(Parametres!$B$3,V$1:AG$1,0))*IF(OR(C41="L",C41="S",C41="I"),-1,1)</f>
        <v>0</v>
      </c>
      <c r="AY41" s="487" t="s">
        <v>337</v>
      </c>
      <c r="AZ41" s="487" t="e">
        <f>+VLOOKUP($AJ41,Data_Validation!$A:$E,5,0)</f>
        <v>#N/A</v>
      </c>
    </row>
    <row r="42" spans="36:52" ht="15" customHeight="1">
      <c r="AJ42" s="899">
        <f t="shared" si="0"/>
        <v>0</v>
      </c>
      <c r="AK42" s="899">
        <f t="shared" si="0"/>
        <v>0</v>
      </c>
      <c r="AL42" s="905">
        <f>IFERROR(INDEX(G42:R42,1,MATCH(Parametres!$B$3,G$1:R$1,0)-1)*IF(OR(F42="L",F42="S",F42="I"),-1,1),"")</f>
        <v>0</v>
      </c>
      <c r="AM42" s="905">
        <f t="shared" si="1"/>
        <v>0</v>
      </c>
      <c r="AN42" s="905">
        <f>INDEX(G42:R42,1,MATCH(Parametres!$B$3,G$1:R$1,0))*IF(OR(F42="L",F42="S",F42="I"),-1,1)</f>
        <v>0</v>
      </c>
      <c r="AO42" s="487" t="e">
        <f>+VLOOKUP($AJ42,Data_Validation!$A:$D,1,0)</f>
        <v>#N/A</v>
      </c>
      <c r="AP42" s="487" t="e">
        <f>+VLOOKUP($AJ42,Data_Validation!$A:$D,3,0)</f>
        <v>#N/A</v>
      </c>
      <c r="AQ42" s="487" t="e">
        <f>+VLOOKUP($AJ42,Data_Validation!$A:$D,4,0)</f>
        <v>#N/A</v>
      </c>
      <c r="AR42" s="487" t="s">
        <v>299</v>
      </c>
      <c r="AS42" s="487" t="e">
        <f>+VLOOKUP($AJ42,Data_Validation!$A:$E,5,0)</f>
        <v>#N/A</v>
      </c>
      <c r="AT42" s="904">
        <f t="shared" si="2"/>
        <v>0</v>
      </c>
      <c r="AU42" s="488">
        <f t="shared" si="2"/>
        <v>0</v>
      </c>
      <c r="AV42" s="899">
        <f>IFERROR(INDEX(V42:AG42,1,MATCH(Parametres!$B$3,V$1:AG$1,0)-1)*IF(OR(C42="L",C42="S",C42="I"),-1,1),"")</f>
        <v>0</v>
      </c>
      <c r="AW42" s="899">
        <f t="shared" si="3"/>
        <v>0</v>
      </c>
      <c r="AX42" s="899">
        <f>INDEX(V42:AG42,1,MATCH(Parametres!$B$3,V$1:AG$1,0))*IF(OR(C42="L",C42="S",C42="I"),-1,1)</f>
        <v>0</v>
      </c>
      <c r="AY42" s="487" t="s">
        <v>337</v>
      </c>
      <c r="AZ42" s="487" t="e">
        <f>+VLOOKUP($AJ42,Data_Validation!$A:$E,5,0)</f>
        <v>#N/A</v>
      </c>
    </row>
    <row r="43" spans="36:52" ht="15" customHeight="1">
      <c r="AJ43" s="899">
        <f t="shared" si="0"/>
        <v>0</v>
      </c>
      <c r="AK43" s="899">
        <f t="shared" si="0"/>
        <v>0</v>
      </c>
      <c r="AL43" s="905">
        <f>IFERROR(INDEX(G43:R43,1,MATCH(Parametres!$B$3,G$1:R$1,0)-1)*IF(OR(F43="L",F43="S",F43="I"),-1,1),"")</f>
        <v>0</v>
      </c>
      <c r="AM43" s="905">
        <f t="shared" si="1"/>
        <v>0</v>
      </c>
      <c r="AN43" s="905">
        <f>INDEX(G43:R43,1,MATCH(Parametres!$B$3,G$1:R$1,0))*IF(OR(F43="L",F43="S",F43="I"),-1,1)</f>
        <v>0</v>
      </c>
      <c r="AO43" s="487" t="e">
        <f>+VLOOKUP($AJ43,Data_Validation!$A:$D,1,0)</f>
        <v>#N/A</v>
      </c>
      <c r="AP43" s="487" t="e">
        <f>+VLOOKUP($AJ43,Data_Validation!$A:$D,3,0)</f>
        <v>#N/A</v>
      </c>
      <c r="AQ43" s="487" t="e">
        <f>+VLOOKUP($AJ43,Data_Validation!$A:$D,4,0)</f>
        <v>#N/A</v>
      </c>
      <c r="AR43" s="487" t="s">
        <v>299</v>
      </c>
      <c r="AS43" s="487" t="e">
        <f>+VLOOKUP($AJ43,Data_Validation!$A:$E,5,0)</f>
        <v>#N/A</v>
      </c>
      <c r="AT43" s="904">
        <f t="shared" si="2"/>
        <v>0</v>
      </c>
      <c r="AU43" s="488">
        <f t="shared" si="2"/>
        <v>0</v>
      </c>
      <c r="AV43" s="899">
        <f>IFERROR(INDEX(V43:AG43,1,MATCH(Parametres!$B$3,V$1:AG$1,0)-1)*IF(OR(C43="L",C43="S",C43="I"),-1,1),"")</f>
        <v>0</v>
      </c>
      <c r="AW43" s="899">
        <f t="shared" si="3"/>
        <v>0</v>
      </c>
      <c r="AX43" s="899">
        <f>INDEX(V43:AG43,1,MATCH(Parametres!$B$3,V$1:AG$1,0))*IF(OR(C43="L",C43="S",C43="I"),-1,1)</f>
        <v>0</v>
      </c>
      <c r="AY43" s="487" t="s">
        <v>337</v>
      </c>
      <c r="AZ43" s="487" t="e">
        <f>+VLOOKUP($AJ43,Data_Validation!$A:$E,5,0)</f>
        <v>#N/A</v>
      </c>
    </row>
    <row r="44" spans="36:52" ht="15.75" customHeight="1">
      <c r="AJ44" s="899">
        <f t="shared" si="0"/>
        <v>0</v>
      </c>
      <c r="AK44" s="899">
        <f t="shared" si="0"/>
        <v>0</v>
      </c>
      <c r="AL44" s="905">
        <f>IFERROR(INDEX(G44:R44,1,MATCH(Parametres!$B$3,G$1:R$1,0)-1)*IF(OR(F44="L",F44="S",F44="I"),-1,1),"")</f>
        <v>0</v>
      </c>
      <c r="AM44" s="905">
        <f t="shared" si="1"/>
        <v>0</v>
      </c>
      <c r="AN44" s="905">
        <f>INDEX(G44:R44,1,MATCH(Parametres!$B$3,G$1:R$1,0))*IF(OR(F44="L",F44="S",F44="I"),-1,1)</f>
        <v>0</v>
      </c>
      <c r="AO44" s="487" t="e">
        <f>+VLOOKUP($AJ44,Data_Validation!$A:$D,1,0)</f>
        <v>#N/A</v>
      </c>
      <c r="AP44" s="487" t="e">
        <f>+VLOOKUP($AJ44,Data_Validation!$A:$D,3,0)</f>
        <v>#N/A</v>
      </c>
      <c r="AQ44" s="487" t="e">
        <f>+VLOOKUP($AJ44,Data_Validation!$A:$D,4,0)</f>
        <v>#N/A</v>
      </c>
      <c r="AR44" s="487" t="s">
        <v>299</v>
      </c>
      <c r="AS44" s="487" t="e">
        <f>+VLOOKUP($AJ44,Data_Validation!$A:$E,5,0)</f>
        <v>#N/A</v>
      </c>
      <c r="AT44" s="904">
        <f t="shared" si="2"/>
        <v>0</v>
      </c>
      <c r="AU44" s="488">
        <f t="shared" si="2"/>
        <v>0</v>
      </c>
      <c r="AV44" s="899">
        <f>IFERROR(INDEX(V44:AG44,1,MATCH(Parametres!$B$3,V$1:AG$1,0)-1)*IF(OR(C44="L",C44="S",C44="I"),-1,1),"")</f>
        <v>0</v>
      </c>
      <c r="AW44" s="899">
        <f t="shared" si="3"/>
        <v>0</v>
      </c>
      <c r="AX44" s="899">
        <f>INDEX(V44:AG44,1,MATCH(Parametres!$B$3,V$1:AG$1,0))*IF(OR(C44="L",C44="S",C44="I"),-1,1)</f>
        <v>0</v>
      </c>
      <c r="AY44" s="487" t="s">
        <v>337</v>
      </c>
      <c r="AZ44" s="487" t="e">
        <f>+VLOOKUP($AJ44,Data_Validation!$A:$E,5,0)</f>
        <v>#N/A</v>
      </c>
    </row>
    <row r="45" spans="36:52" ht="15" customHeight="1">
      <c r="AJ45" s="899">
        <f t="shared" si="0"/>
        <v>0</v>
      </c>
      <c r="AK45" s="899">
        <f t="shared" si="0"/>
        <v>0</v>
      </c>
      <c r="AL45" s="905">
        <f>IFERROR(INDEX(G45:R45,1,MATCH(Parametres!$B$3,G$1:R$1,0)-1)*IF(OR(F45="L",F45="S",F45="I"),-1,1),"")</f>
        <v>0</v>
      </c>
      <c r="AM45" s="905">
        <f t="shared" si="1"/>
        <v>0</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f t="shared" si="2"/>
        <v>0</v>
      </c>
      <c r="AU45" s="488">
        <f t="shared" si="2"/>
        <v>0</v>
      </c>
      <c r="AV45" s="899">
        <f>IFERROR(INDEX(V45:AG45,1,MATCH(Parametres!$B$3,V$1:AG$1,0)-1)*IF(OR(C45="L",C45="S",C45="I"),-1,1),"")</f>
        <v>0</v>
      </c>
      <c r="AW45" s="899">
        <f t="shared" si="3"/>
        <v>0</v>
      </c>
      <c r="AX45" s="899">
        <f>INDEX(V45:AG45,1,MATCH(Parametres!$B$3,V$1:AG$1,0))*IF(OR(C45="L",C45="S",C45="I"),-1,1)</f>
        <v>0</v>
      </c>
      <c r="AY45" s="487" t="s">
        <v>337</v>
      </c>
      <c r="AZ45" s="487" t="e">
        <f>+VLOOKUP($AJ45,Data_Validation!$A:$E,5,0)</f>
        <v>#N/A</v>
      </c>
    </row>
    <row r="46" spans="36:52" ht="15" customHeight="1">
      <c r="AJ46" s="899">
        <f t="shared" si="0"/>
        <v>0</v>
      </c>
      <c r="AK46" s="899">
        <f t="shared" si="0"/>
        <v>0</v>
      </c>
      <c r="AL46" s="905">
        <f>IFERROR(INDEX(G46:R46,1,MATCH(Parametres!$B$3,G$1:R$1,0)-1)*IF(OR(F46="L",F46="S",F46="I"),-1,1),"")</f>
        <v>0</v>
      </c>
      <c r="AM46" s="905">
        <f t="shared" si="1"/>
        <v>0</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f t="shared" si="2"/>
        <v>0</v>
      </c>
      <c r="AU46" s="488">
        <f t="shared" si="2"/>
        <v>0</v>
      </c>
      <c r="AV46" s="899">
        <f>IFERROR(INDEX(V46:AG46,1,MATCH(Parametres!$B$3,V$1:AG$1,0)-1)*IF(OR(C46="L",C46="S",C46="I"),-1,1),"")</f>
        <v>0</v>
      </c>
      <c r="AW46" s="899">
        <f t="shared" si="3"/>
        <v>0</v>
      </c>
      <c r="AX46" s="899">
        <f>INDEX(V46:AG46,1,MATCH(Parametres!$B$3,V$1:AG$1,0))*IF(OR(C46="L",C46="S",C46="I"),-1,1)</f>
        <v>0</v>
      </c>
      <c r="AY46" s="487" t="s">
        <v>337</v>
      </c>
      <c r="AZ46" s="487" t="e">
        <f>+VLOOKUP($AJ46,Data_Validation!$A:$E,5,0)</f>
        <v>#N/A</v>
      </c>
    </row>
    <row r="47" spans="36:52" ht="15" customHeight="1">
      <c r="AJ47" s="899">
        <f t="shared" si="0"/>
        <v>0</v>
      </c>
      <c r="AK47" s="899">
        <f t="shared" si="0"/>
        <v>0</v>
      </c>
      <c r="AL47" s="905">
        <f>IFERROR(INDEX(G47:R47,1,MATCH(Parametres!$B$3,G$1:R$1,0)-1)*IF(OR(F47="L",F47="S",F47="I"),-1,1),"")</f>
        <v>0</v>
      </c>
      <c r="AM47" s="905">
        <f t="shared" si="1"/>
        <v>0</v>
      </c>
      <c r="AN47" s="905">
        <f>INDEX(G47:R47,1,MATCH(Parametres!$B$3,G$1:R$1,0))*IF(OR(F47="L",F47="S",F47="I"),-1,1)</f>
        <v>0</v>
      </c>
      <c r="AO47" s="487" t="e">
        <f>+VLOOKUP($AJ47,Data_Validation!$A:$D,1,0)</f>
        <v>#N/A</v>
      </c>
      <c r="AP47" s="487" t="e">
        <f>+VLOOKUP($AJ47,Data_Validation!$A:$D,3,0)</f>
        <v>#N/A</v>
      </c>
      <c r="AQ47" s="487" t="e">
        <f>+VLOOKUP($AJ47,Data_Validation!$A:$D,4,0)</f>
        <v>#N/A</v>
      </c>
      <c r="AR47" s="487" t="s">
        <v>299</v>
      </c>
      <c r="AS47" s="487" t="e">
        <f>+VLOOKUP($AJ47,Data_Validation!$A:$E,5,0)</f>
        <v>#N/A</v>
      </c>
      <c r="AT47" s="904">
        <f t="shared" si="2"/>
        <v>0</v>
      </c>
      <c r="AU47" s="488">
        <f t="shared" si="2"/>
        <v>0</v>
      </c>
      <c r="AV47" s="899">
        <f>IFERROR(INDEX(V47:AG47,1,MATCH(Parametres!$B$3,V$1:AG$1,0)-1)*IF(OR(C47="L",C47="S",C47="I"),-1,1),"")</f>
        <v>0</v>
      </c>
      <c r="AW47" s="899">
        <f t="shared" si="3"/>
        <v>0</v>
      </c>
      <c r="AX47" s="899">
        <f>INDEX(V47:AG47,1,MATCH(Parametres!$B$3,V$1:AG$1,0))*IF(OR(C47="L",C47="S",C47="I"),-1,1)</f>
        <v>0</v>
      </c>
      <c r="AY47" s="487" t="s">
        <v>337</v>
      </c>
      <c r="AZ47" s="487" t="e">
        <f>+VLOOKUP($AJ47,Data_Validation!$A:$E,5,0)</f>
        <v>#N/A</v>
      </c>
    </row>
    <row r="48" spans="36:52" ht="15.75" customHeight="1">
      <c r="AJ48" s="899">
        <f t="shared" si="0"/>
        <v>0</v>
      </c>
      <c r="AK48" s="899">
        <f t="shared" si="0"/>
        <v>0</v>
      </c>
      <c r="AL48" s="905">
        <f>IFERROR(INDEX(G48:R48,1,MATCH(Parametres!$B$3,G$1:R$1,0)-1)*IF(OR(F48="L",F48="S",F48="I"),-1,1),"")</f>
        <v>0</v>
      </c>
      <c r="AM48" s="905">
        <f t="shared" si="1"/>
        <v>0</v>
      </c>
      <c r="AN48" s="905">
        <f>INDEX(G48:R48,1,MATCH(Parametres!$B$3,G$1:R$1,0))*IF(OR(F48="L",F48="S",F48="I"),-1,1)</f>
        <v>0</v>
      </c>
      <c r="AO48" s="487" t="e">
        <f>+VLOOKUP($AJ48,Data_Validation!$A:$D,1,0)</f>
        <v>#N/A</v>
      </c>
      <c r="AP48" s="487" t="e">
        <f>+VLOOKUP($AJ48,Data_Validation!$A:$D,3,0)</f>
        <v>#N/A</v>
      </c>
      <c r="AQ48" s="487" t="e">
        <f>+VLOOKUP($AJ48,Data_Validation!$A:$D,4,0)</f>
        <v>#N/A</v>
      </c>
      <c r="AR48" s="487" t="s">
        <v>299</v>
      </c>
      <c r="AS48" s="487" t="e">
        <f>+VLOOKUP($AJ48,Data_Validation!$A:$E,5,0)</f>
        <v>#N/A</v>
      </c>
      <c r="AT48" s="904">
        <f t="shared" si="2"/>
        <v>0</v>
      </c>
      <c r="AU48" s="488">
        <f t="shared" si="2"/>
        <v>0</v>
      </c>
      <c r="AV48" s="899">
        <f>IFERROR(INDEX(V48:AG48,1,MATCH(Parametres!$B$3,V$1:AG$1,0)-1)*IF(OR(C48="L",C48="S",C48="I"),-1,1),"")</f>
        <v>0</v>
      </c>
      <c r="AW48" s="899">
        <f t="shared" si="3"/>
        <v>0</v>
      </c>
      <c r="AX48" s="899">
        <f>INDEX(V48:AG48,1,MATCH(Parametres!$B$3,V$1:AG$1,0))*IF(OR(C48="L",C48="S",C48="I"),-1,1)</f>
        <v>0</v>
      </c>
      <c r="AY48" s="487" t="s">
        <v>337</v>
      </c>
      <c r="AZ48" s="487" t="e">
        <f>+VLOOKUP($AJ48,Data_Validation!$A:$E,5,0)</f>
        <v>#N/A</v>
      </c>
    </row>
    <row r="49" spans="36:52" ht="15" customHeight="1">
      <c r="AJ49" s="899">
        <f t="shared" si="0"/>
        <v>0</v>
      </c>
      <c r="AK49" s="899">
        <f t="shared" si="0"/>
        <v>0</v>
      </c>
      <c r="AL49" s="905">
        <f>IFERROR(INDEX(G49:R49,1,MATCH(Parametres!$B$3,G$1:R$1,0)-1)*IF(OR(F49="L",F49="S",F49="I"),-1,1),"")</f>
        <v>0</v>
      </c>
      <c r="AM49" s="905">
        <f t="shared" si="1"/>
        <v>0</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f t="shared" si="2"/>
        <v>0</v>
      </c>
      <c r="AU49" s="488">
        <f t="shared" si="2"/>
        <v>0</v>
      </c>
      <c r="AV49" s="899">
        <f>IFERROR(INDEX(V49:AG49,1,MATCH(Parametres!$B$3,V$1:AG$1,0)-1)*IF(OR(C49="L",C49="S",C49="I"),-1,1),"")</f>
        <v>0</v>
      </c>
      <c r="AW49" s="899">
        <f t="shared" si="3"/>
        <v>0</v>
      </c>
      <c r="AX49" s="899">
        <f>INDEX(V49:AG49,1,MATCH(Parametres!$B$3,V$1:AG$1,0))*IF(OR(C49="L",C49="S",C49="I"),-1,1)</f>
        <v>0</v>
      </c>
      <c r="AY49" s="487" t="s">
        <v>337</v>
      </c>
      <c r="AZ49" s="487" t="e">
        <f>+VLOOKUP($AJ49,Data_Validation!$A:$E,5,0)</f>
        <v>#N/A</v>
      </c>
    </row>
    <row r="50" spans="36:52" ht="15" customHeight="1">
      <c r="AJ50" s="899">
        <f t="shared" si="0"/>
        <v>0</v>
      </c>
      <c r="AK50" s="899">
        <f t="shared" si="0"/>
        <v>0</v>
      </c>
      <c r="AL50" s="905">
        <f>IFERROR(INDEX(G50:R50,1,MATCH(Parametres!$B$3,G$1:R$1,0)-1)*IF(OR(F50="L",F50="S",F50="I"),-1,1),"")</f>
        <v>0</v>
      </c>
      <c r="AM50" s="905">
        <f t="shared" si="1"/>
        <v>0</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f t="shared" si="2"/>
        <v>0</v>
      </c>
      <c r="AU50" s="488">
        <f t="shared" si="2"/>
        <v>0</v>
      </c>
      <c r="AV50" s="899">
        <f>IFERROR(INDEX(V50:AG50,1,MATCH(Parametres!$B$3,V$1:AG$1,0)-1)*IF(OR(C50="L",C50="S",C50="I"),-1,1),"")</f>
        <v>0</v>
      </c>
      <c r="AW50" s="899">
        <f t="shared" si="3"/>
        <v>0</v>
      </c>
      <c r="AX50" s="899">
        <f>INDEX(V50:AG50,1,MATCH(Parametres!$B$3,V$1:AG$1,0))*IF(OR(C50="L",C50="S",C50="I"),-1,1)</f>
        <v>0</v>
      </c>
      <c r="AY50" s="487" t="s">
        <v>337</v>
      </c>
      <c r="AZ50" s="487" t="e">
        <f>+VLOOKUP($AJ50,Data_Validation!$A:$E,5,0)</f>
        <v>#N/A</v>
      </c>
    </row>
    <row r="51" spans="36:52" ht="15" customHeight="1">
      <c r="AJ51" s="899">
        <f t="shared" si="0"/>
        <v>0</v>
      </c>
      <c r="AK51" s="899">
        <f t="shared" si="0"/>
        <v>0</v>
      </c>
      <c r="AL51" s="905">
        <f>IFERROR(INDEX(G51:R51,1,MATCH(Parametres!$B$3,G$1:R$1,0)-1)*IF(OR(F51="L",F51="S",F51="I"),-1,1),"")</f>
        <v>0</v>
      </c>
      <c r="AM51" s="905">
        <f t="shared" si="1"/>
        <v>0</v>
      </c>
      <c r="AN51" s="905">
        <f>INDEX(G51:R51,1,MATCH(Parametres!$B$3,G$1:R$1,0))*IF(OR(F51="L",F51="S",F51="I"),-1,1)</f>
        <v>0</v>
      </c>
      <c r="AO51" s="487" t="e">
        <f>+VLOOKUP($AJ51,Data_Validation!$A:$D,1,0)</f>
        <v>#N/A</v>
      </c>
      <c r="AP51" s="487" t="e">
        <f>+VLOOKUP($AJ51,Data_Validation!$A:$D,3,0)</f>
        <v>#N/A</v>
      </c>
      <c r="AQ51" s="487" t="e">
        <f>+VLOOKUP($AJ51,Data_Validation!$A:$D,4,0)</f>
        <v>#N/A</v>
      </c>
      <c r="AR51" s="487" t="s">
        <v>299</v>
      </c>
      <c r="AS51" s="487" t="e">
        <f>+VLOOKUP($AJ51,Data_Validation!$A:$E,5,0)</f>
        <v>#N/A</v>
      </c>
      <c r="AT51" s="904">
        <f t="shared" si="2"/>
        <v>0</v>
      </c>
      <c r="AU51" s="488">
        <f t="shared" si="2"/>
        <v>0</v>
      </c>
      <c r="AV51" s="899">
        <f>IFERROR(INDEX(V51:AG51,1,MATCH(Parametres!$B$3,V$1:AG$1,0)-1)*IF(OR(C51="L",C51="S",C51="I"),-1,1),"")</f>
        <v>0</v>
      </c>
      <c r="AW51" s="899">
        <f t="shared" si="3"/>
        <v>0</v>
      </c>
      <c r="AX51" s="899">
        <f>INDEX(V51:AG51,1,MATCH(Parametres!$B$3,V$1:AG$1,0))*IF(OR(C51="L",C51="S",C51="I"),-1,1)</f>
        <v>0</v>
      </c>
      <c r="AY51" s="487" t="s">
        <v>337</v>
      </c>
      <c r="AZ51" s="487" t="e">
        <f>+VLOOKUP($AJ51,Data_Validation!$A:$E,5,0)</f>
        <v>#N/A</v>
      </c>
    </row>
    <row r="52" spans="36:52" ht="15.75" customHeight="1">
      <c r="AJ52" s="899">
        <f t="shared" si="0"/>
        <v>0</v>
      </c>
      <c r="AK52" s="899">
        <f t="shared" si="0"/>
        <v>0</v>
      </c>
      <c r="AL52" s="905">
        <f>IFERROR(INDEX(G52:R52,1,MATCH(Parametres!$B$3,G$1:R$1,0)-1)*IF(OR(F52="L",F52="S",F52="I"),-1,1),"")</f>
        <v>0</v>
      </c>
      <c r="AM52" s="905">
        <f t="shared" si="1"/>
        <v>0</v>
      </c>
      <c r="AN52" s="905">
        <f>INDEX(G52:R52,1,MATCH(Parametres!$B$3,G$1:R$1,0))*IF(OR(F52="L",F52="S",F52="I"),-1,1)</f>
        <v>0</v>
      </c>
      <c r="AO52" s="487" t="e">
        <f>+VLOOKUP($AJ52,Data_Validation!$A:$D,1,0)</f>
        <v>#N/A</v>
      </c>
      <c r="AP52" s="487" t="e">
        <f>+VLOOKUP($AJ52,Data_Validation!$A:$D,3,0)</f>
        <v>#N/A</v>
      </c>
      <c r="AQ52" s="487" t="e">
        <f>+VLOOKUP($AJ52,Data_Validation!$A:$D,4,0)</f>
        <v>#N/A</v>
      </c>
      <c r="AR52" s="487" t="s">
        <v>299</v>
      </c>
      <c r="AS52" s="487" t="e">
        <f>+VLOOKUP($AJ52,Data_Validation!$A:$E,5,0)</f>
        <v>#N/A</v>
      </c>
      <c r="AT52" s="904">
        <f t="shared" si="2"/>
        <v>0</v>
      </c>
      <c r="AU52" s="488">
        <f t="shared" si="2"/>
        <v>0</v>
      </c>
      <c r="AV52" s="899">
        <f>IFERROR(INDEX(V52:AG52,1,MATCH(Parametres!$B$3,V$1:AG$1,0)-1)*IF(OR(C52="L",C52="S",C52="I"),-1,1),"")</f>
        <v>0</v>
      </c>
      <c r="AW52" s="899">
        <f t="shared" si="3"/>
        <v>0</v>
      </c>
      <c r="AX52" s="899">
        <f>INDEX(V52:AG52,1,MATCH(Parametres!$B$3,V$1:AG$1,0))*IF(OR(C52="L",C52="S",C52="I"),-1,1)</f>
        <v>0</v>
      </c>
      <c r="AY52" s="487" t="s">
        <v>337</v>
      </c>
      <c r="AZ52" s="487" t="e">
        <f>+VLOOKUP($AJ52,Data_Validation!$A:$E,5,0)</f>
        <v>#N/A</v>
      </c>
    </row>
    <row r="53" spans="36:52" ht="15" customHeight="1">
      <c r="AJ53" s="899">
        <f t="shared" si="0"/>
        <v>0</v>
      </c>
      <c r="AK53" s="899">
        <f t="shared" si="0"/>
        <v>0</v>
      </c>
      <c r="AL53" s="905">
        <f>IFERROR(INDEX(G53:R53,1,MATCH(Parametres!$B$3,G$1:R$1,0)-1)*IF(OR(F53="L",F53="S",F53="I"),-1,1),"")</f>
        <v>0</v>
      </c>
      <c r="AM53" s="905">
        <f t="shared" si="1"/>
        <v>0</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f t="shared" si="2"/>
        <v>0</v>
      </c>
      <c r="AU53" s="488">
        <f t="shared" si="2"/>
        <v>0</v>
      </c>
      <c r="AV53" s="899">
        <f>IFERROR(INDEX(V53:AG53,1,MATCH(Parametres!$B$3,V$1:AG$1,0)-1)*IF(OR(C53="L",C53="S",C53="I"),-1,1),"")</f>
        <v>0</v>
      </c>
      <c r="AW53" s="899">
        <f t="shared" si="3"/>
        <v>0</v>
      </c>
      <c r="AX53" s="899">
        <f>INDEX(V53:AG53,1,MATCH(Parametres!$B$3,V$1:AG$1,0))*IF(OR(C53="L",C53="S",C53="I"),-1,1)</f>
        <v>0</v>
      </c>
      <c r="AY53" s="487" t="s">
        <v>337</v>
      </c>
      <c r="AZ53" s="487" t="e">
        <f>+VLOOKUP($AJ53,Data_Validation!$A:$E,5,0)</f>
        <v>#N/A</v>
      </c>
    </row>
    <row r="54" spans="36:52" ht="15" customHeight="1">
      <c r="AJ54" s="899">
        <f t="shared" si="0"/>
        <v>0</v>
      </c>
      <c r="AK54" s="899">
        <f t="shared" si="0"/>
        <v>0</v>
      </c>
      <c r="AL54" s="905">
        <f>IFERROR(INDEX(G54:R54,1,MATCH(Parametres!$B$3,G$1:R$1,0)-1)*IF(OR(F54="L",F54="S",F54="I"),-1,1),"")</f>
        <v>0</v>
      </c>
      <c r="AM54" s="905">
        <f t="shared" si="1"/>
        <v>0</v>
      </c>
      <c r="AN54" s="905">
        <f>INDEX(G54:R54,1,MATCH(Parametres!$B$3,G$1:R$1,0))*IF(OR(F54="L",F54="S",F54="I"),-1,1)</f>
        <v>0</v>
      </c>
      <c r="AO54" s="487" t="e">
        <f>+VLOOKUP($AJ54,Data_Validation!$A:$D,1,0)</f>
        <v>#N/A</v>
      </c>
      <c r="AP54" s="487" t="e">
        <f>+VLOOKUP($AJ54,Data_Validation!$A:$D,3,0)</f>
        <v>#N/A</v>
      </c>
      <c r="AQ54" s="487" t="e">
        <f>+VLOOKUP($AJ54,Data_Validation!$A:$D,4,0)</f>
        <v>#N/A</v>
      </c>
      <c r="AR54" s="487" t="s">
        <v>299</v>
      </c>
      <c r="AS54" s="487" t="e">
        <f>+VLOOKUP($AJ54,Data_Validation!$A:$E,5,0)</f>
        <v>#N/A</v>
      </c>
      <c r="AT54" s="904">
        <f t="shared" si="2"/>
        <v>0</v>
      </c>
      <c r="AU54" s="488">
        <f t="shared" si="2"/>
        <v>0</v>
      </c>
      <c r="AV54" s="899">
        <f>IFERROR(INDEX(V54:AG54,1,MATCH(Parametres!$B$3,V$1:AG$1,0)-1)*IF(OR(C54="L",C54="S",C54="I"),-1,1),"")</f>
        <v>0</v>
      </c>
      <c r="AW54" s="899">
        <f t="shared" si="3"/>
        <v>0</v>
      </c>
      <c r="AX54" s="899">
        <f>INDEX(V54:AG54,1,MATCH(Parametres!$B$3,V$1:AG$1,0))*IF(OR(C54="L",C54="S",C54="I"),-1,1)</f>
        <v>0</v>
      </c>
      <c r="AY54" s="487" t="s">
        <v>337</v>
      </c>
      <c r="AZ54" s="487" t="e">
        <f>+VLOOKUP($AJ54,Data_Validation!$A:$E,5,0)</f>
        <v>#N/A</v>
      </c>
    </row>
    <row r="55" spans="36:52" ht="15" customHeight="1">
      <c r="AJ55" s="899">
        <f t="shared" si="0"/>
        <v>0</v>
      </c>
      <c r="AK55" s="899">
        <f t="shared" si="0"/>
        <v>0</v>
      </c>
      <c r="AL55" s="905">
        <f>IFERROR(INDEX(G55:R55,1,MATCH(Parametres!$B$3,G$1:R$1,0)-1)*IF(OR(F55="L",F55="S",F55="I"),-1,1),"")</f>
        <v>0</v>
      </c>
      <c r="AM55" s="905">
        <f t="shared" si="1"/>
        <v>0</v>
      </c>
      <c r="AN55" s="905">
        <f>INDEX(G55:R55,1,MATCH(Parametres!$B$3,G$1:R$1,0))*IF(OR(F55="L",F55="S",F55="I"),-1,1)</f>
        <v>0</v>
      </c>
      <c r="AO55" s="487" t="e">
        <f>+VLOOKUP($AJ55,Data_Validation!$A:$D,1,0)</f>
        <v>#N/A</v>
      </c>
      <c r="AP55" s="487" t="e">
        <f>+VLOOKUP($AJ55,Data_Validation!$A:$D,3,0)</f>
        <v>#N/A</v>
      </c>
      <c r="AQ55" s="487" t="e">
        <f>+VLOOKUP($AJ55,Data_Validation!$A:$D,4,0)</f>
        <v>#N/A</v>
      </c>
      <c r="AR55" s="487" t="s">
        <v>299</v>
      </c>
      <c r="AS55" s="487" t="e">
        <f>+VLOOKUP($AJ55,Data_Validation!$A:$E,5,0)</f>
        <v>#N/A</v>
      </c>
      <c r="AT55" s="904">
        <f t="shared" si="2"/>
        <v>0</v>
      </c>
      <c r="AU55" s="488">
        <f t="shared" si="2"/>
        <v>0</v>
      </c>
      <c r="AV55" s="899">
        <f>IFERROR(INDEX(V55:AG55,1,MATCH(Parametres!$B$3,V$1:AG$1,0)-1)*IF(OR(C55="L",C55="S",C55="I"),-1,1),"")</f>
        <v>0</v>
      </c>
      <c r="AW55" s="899">
        <f t="shared" si="3"/>
        <v>0</v>
      </c>
      <c r="AX55" s="899">
        <f>INDEX(V55:AG55,1,MATCH(Parametres!$B$3,V$1:AG$1,0))*IF(OR(C55="L",C55="S",C55="I"),-1,1)</f>
        <v>0</v>
      </c>
      <c r="AY55" s="487" t="s">
        <v>337</v>
      </c>
      <c r="AZ55" s="487" t="e">
        <f>+VLOOKUP($AJ55,Data_Validation!$A:$E,5,0)</f>
        <v>#N/A</v>
      </c>
    </row>
    <row r="56" spans="36:52" ht="15.75" customHeight="1">
      <c r="AJ56" s="899">
        <f t="shared" si="0"/>
        <v>0</v>
      </c>
      <c r="AK56" s="899">
        <f t="shared" si="0"/>
        <v>0</v>
      </c>
      <c r="AL56" s="905">
        <f>IFERROR(INDEX(G56:R56,1,MATCH(Parametres!$B$3,G$1:R$1,0)-1)*IF(OR(F56="L",F56="S",F56="I"),-1,1),"")</f>
        <v>0</v>
      </c>
      <c r="AM56" s="905">
        <f t="shared" si="1"/>
        <v>0</v>
      </c>
      <c r="AN56" s="905">
        <f>INDEX(G56:R56,1,MATCH(Parametres!$B$3,G$1:R$1,0))*IF(OR(F56="L",F56="S",F56="I"),-1,1)</f>
        <v>0</v>
      </c>
      <c r="AO56" s="487" t="e">
        <f>+VLOOKUP($AJ56,Data_Validation!$A:$D,1,0)</f>
        <v>#N/A</v>
      </c>
      <c r="AP56" s="487" t="e">
        <f>+VLOOKUP($AJ56,Data_Validation!$A:$D,3,0)</f>
        <v>#N/A</v>
      </c>
      <c r="AQ56" s="487" t="e">
        <f>+VLOOKUP($AJ56,Data_Validation!$A:$D,4,0)</f>
        <v>#N/A</v>
      </c>
      <c r="AR56" s="487" t="s">
        <v>299</v>
      </c>
      <c r="AS56" s="487" t="e">
        <f>+VLOOKUP($AJ56,Data_Validation!$A:$E,5,0)</f>
        <v>#N/A</v>
      </c>
      <c r="AT56" s="904">
        <f t="shared" si="2"/>
        <v>0</v>
      </c>
      <c r="AU56" s="488">
        <f t="shared" si="2"/>
        <v>0</v>
      </c>
      <c r="AV56" s="899">
        <f>IFERROR(INDEX(V56:AG56,1,MATCH(Parametres!$B$3,V$1:AG$1,0)-1)*IF(OR(C56="L",C56="S",C56="I"),-1,1),"")</f>
        <v>0</v>
      </c>
      <c r="AW56" s="899">
        <f t="shared" si="3"/>
        <v>0</v>
      </c>
      <c r="AX56" s="899">
        <f>INDEX(V56:AG56,1,MATCH(Parametres!$B$3,V$1:AG$1,0))*IF(OR(C56="L",C56="S",C56="I"),-1,1)</f>
        <v>0</v>
      </c>
      <c r="AY56" s="487" t="s">
        <v>337</v>
      </c>
      <c r="AZ56" s="487" t="e">
        <f>+VLOOKUP($AJ56,Data_Validation!$A:$E,5,0)</f>
        <v>#N/A</v>
      </c>
    </row>
    <row r="57" spans="36:52" ht="15" customHeight="1">
      <c r="AJ57" s="899">
        <f t="shared" si="0"/>
        <v>0</v>
      </c>
      <c r="AK57" s="899">
        <f t="shared" si="0"/>
        <v>0</v>
      </c>
      <c r="AL57" s="905">
        <f>IFERROR(INDEX(G57:R57,1,MATCH(Parametres!$B$3,G$1:R$1,0)-1)*IF(OR(F57="L",F57="S",F57="I"),-1,1),"")</f>
        <v>0</v>
      </c>
      <c r="AM57" s="905">
        <f t="shared" si="1"/>
        <v>0</v>
      </c>
      <c r="AN57" s="905">
        <f>INDEX(G57:R57,1,MATCH(Parametres!$B$3,G$1:R$1,0))*IF(OR(F57="L",F57="S",F57="I"),-1,1)</f>
        <v>0</v>
      </c>
      <c r="AO57" s="487" t="e">
        <f>+VLOOKUP($AJ57,Data_Validation!$A:$D,1,0)</f>
        <v>#N/A</v>
      </c>
      <c r="AP57" s="487" t="e">
        <f>+VLOOKUP($AJ57,Data_Validation!$A:$D,3,0)</f>
        <v>#N/A</v>
      </c>
      <c r="AQ57" s="487" t="e">
        <f>+VLOOKUP($AJ57,Data_Validation!$A:$D,4,0)</f>
        <v>#N/A</v>
      </c>
      <c r="AR57" s="487" t="s">
        <v>299</v>
      </c>
      <c r="AS57" s="487" t="e">
        <f>+VLOOKUP($AJ57,Data_Validation!$A:$E,5,0)</f>
        <v>#N/A</v>
      </c>
      <c r="AT57" s="904">
        <f t="shared" si="2"/>
        <v>0</v>
      </c>
      <c r="AU57" s="488">
        <f t="shared" si="2"/>
        <v>0</v>
      </c>
      <c r="AV57" s="899">
        <f>IFERROR(INDEX(V57:AG57,1,MATCH(Parametres!$B$3,V$1:AG$1,0)-1)*IF(OR(C57="L",C57="S",C57="I"),-1,1),"")</f>
        <v>0</v>
      </c>
      <c r="AW57" s="899">
        <f t="shared" si="3"/>
        <v>0</v>
      </c>
      <c r="AX57" s="899">
        <f>INDEX(V57:AG57,1,MATCH(Parametres!$B$3,V$1:AG$1,0))*IF(OR(C57="L",C57="S",C57="I"),-1,1)</f>
        <v>0</v>
      </c>
      <c r="AY57" s="487" t="s">
        <v>337</v>
      </c>
      <c r="AZ57" s="487" t="e">
        <f>+VLOOKUP($AJ57,Data_Validation!$A:$E,5,0)</f>
        <v>#N/A</v>
      </c>
    </row>
    <row r="58" spans="36:52" ht="15" customHeight="1">
      <c r="AJ58" s="899">
        <f t="shared" si="0"/>
        <v>0</v>
      </c>
      <c r="AK58" s="899">
        <f t="shared" si="0"/>
        <v>0</v>
      </c>
      <c r="AL58" s="905">
        <f>IFERROR(INDEX(G58:R58,1,MATCH(Parametres!$B$3,G$1:R$1,0)-1)*IF(OR(F58="L",F58="S",F58="I"),-1,1),"")</f>
        <v>0</v>
      </c>
      <c r="AM58" s="905">
        <f t="shared" si="1"/>
        <v>0</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f t="shared" si="2"/>
        <v>0</v>
      </c>
      <c r="AU58" s="488">
        <f t="shared" si="2"/>
        <v>0</v>
      </c>
      <c r="AV58" s="899">
        <f>IFERROR(INDEX(V58:AG58,1,MATCH(Parametres!$B$3,V$1:AG$1,0)-1)*IF(OR(C58="L",C58="S",C58="I"),-1,1),"")</f>
        <v>0</v>
      </c>
      <c r="AW58" s="899">
        <f t="shared" si="3"/>
        <v>0</v>
      </c>
      <c r="AX58" s="899">
        <f>INDEX(V58:AG58,1,MATCH(Parametres!$B$3,V$1:AG$1,0))*IF(OR(C58="L",C58="S",C58="I"),-1,1)</f>
        <v>0</v>
      </c>
      <c r="AY58" s="487" t="s">
        <v>337</v>
      </c>
      <c r="AZ58" s="487" t="e">
        <f>+VLOOKUP($AJ58,Data_Validation!$A:$E,5,0)</f>
        <v>#N/A</v>
      </c>
    </row>
    <row r="59" spans="36:52" ht="15" customHeight="1">
      <c r="AJ59" s="899">
        <f t="shared" si="0"/>
        <v>0</v>
      </c>
      <c r="AK59" s="899">
        <f t="shared" si="0"/>
        <v>0</v>
      </c>
      <c r="AL59" s="905">
        <f>IFERROR(INDEX(G59:R59,1,MATCH(Parametres!$B$3,G$1:R$1,0)-1)*IF(OR(F59="L",F59="S",F59="I"),-1,1),"")</f>
        <v>0</v>
      </c>
      <c r="AM59" s="905">
        <f t="shared" si="1"/>
        <v>0</v>
      </c>
      <c r="AN59" s="905">
        <f>INDEX(G59:R59,1,MATCH(Parametres!$B$3,G$1:R$1,0))*IF(OR(F59="L",F59="S",F59="I"),-1,1)</f>
        <v>0</v>
      </c>
      <c r="AO59" s="487" t="e">
        <f>+VLOOKUP($AJ59,Data_Validation!$A:$D,1,0)</f>
        <v>#N/A</v>
      </c>
      <c r="AP59" s="487" t="e">
        <f>+VLOOKUP($AJ59,Data_Validation!$A:$D,3,0)</f>
        <v>#N/A</v>
      </c>
      <c r="AQ59" s="487" t="e">
        <f>+VLOOKUP($AJ59,Data_Validation!$A:$D,4,0)</f>
        <v>#N/A</v>
      </c>
      <c r="AR59" s="487" t="s">
        <v>299</v>
      </c>
      <c r="AS59" s="487" t="e">
        <f>+VLOOKUP($AJ59,Data_Validation!$A:$E,5,0)</f>
        <v>#N/A</v>
      </c>
      <c r="AT59" s="904">
        <f t="shared" si="2"/>
        <v>0</v>
      </c>
      <c r="AU59" s="488">
        <f t="shared" si="2"/>
        <v>0</v>
      </c>
      <c r="AV59" s="899">
        <f>IFERROR(INDEX(V59:AG59,1,MATCH(Parametres!$B$3,V$1:AG$1,0)-1)*IF(OR(C59="L",C59="S",C59="I"),-1,1),"")</f>
        <v>0</v>
      </c>
      <c r="AW59" s="899">
        <f t="shared" si="3"/>
        <v>0</v>
      </c>
      <c r="AX59" s="899">
        <f>INDEX(V59:AG59,1,MATCH(Parametres!$B$3,V$1:AG$1,0))*IF(OR(C59="L",C59="S",C59="I"),-1,1)</f>
        <v>0</v>
      </c>
      <c r="AY59" s="487" t="s">
        <v>337</v>
      </c>
      <c r="AZ59" s="487" t="e">
        <f>+VLOOKUP($AJ59,Data_Validation!$A:$E,5,0)</f>
        <v>#N/A</v>
      </c>
    </row>
    <row r="60" spans="36:52" ht="15" customHeight="1">
      <c r="AJ60" s="899">
        <f t="shared" si="0"/>
        <v>0</v>
      </c>
      <c r="AK60" s="899">
        <f t="shared" si="0"/>
        <v>0</v>
      </c>
      <c r="AL60" s="905">
        <f>IFERROR(INDEX(G60:R60,1,MATCH(Parametres!$B$3,G$1:R$1,0)-1)*IF(OR(F60="L",F60="S",F60="I"),-1,1),"")</f>
        <v>0</v>
      </c>
      <c r="AM60" s="905">
        <f t="shared" si="1"/>
        <v>0</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f t="shared" si="2"/>
        <v>0</v>
      </c>
      <c r="AU60" s="488">
        <f t="shared" si="2"/>
        <v>0</v>
      </c>
      <c r="AV60" s="899">
        <f>IFERROR(INDEX(V60:AG60,1,MATCH(Parametres!$B$3,V$1:AG$1,0)-1)*IF(OR(C60="L",C60="S",C60="I"),-1,1),"")</f>
        <v>0</v>
      </c>
      <c r="AW60" s="899">
        <f t="shared" si="3"/>
        <v>0</v>
      </c>
      <c r="AX60" s="899">
        <f>INDEX(V60:AG60,1,MATCH(Parametres!$B$3,V$1:AG$1,0))*IF(OR(C60="L",C60="S",C60="I"),-1,1)</f>
        <v>0</v>
      </c>
      <c r="AY60" s="487" t="s">
        <v>337</v>
      </c>
      <c r="AZ60" s="487" t="e">
        <f>+VLOOKUP($AJ60,Data_Validation!$A:$E,5,0)</f>
        <v>#N/A</v>
      </c>
    </row>
    <row r="61" spans="36:52" ht="15" customHeight="1">
      <c r="AJ61" s="899">
        <f t="shared" si="0"/>
        <v>0</v>
      </c>
      <c r="AK61" s="899">
        <f t="shared" si="0"/>
        <v>0</v>
      </c>
      <c r="AL61" s="905">
        <f>IFERROR(INDEX(G61:R61,1,MATCH(Parametres!$B$3,G$1:R$1,0)-1)*IF(OR(F61="L",F61="S",F61="I"),-1,1),"")</f>
        <v>0</v>
      </c>
      <c r="AM61" s="905">
        <f t="shared" si="1"/>
        <v>0</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f t="shared" si="2"/>
        <v>0</v>
      </c>
      <c r="AU61" s="488">
        <f t="shared" si="2"/>
        <v>0</v>
      </c>
      <c r="AV61" s="899">
        <f>IFERROR(INDEX(V61:AG61,1,MATCH(Parametres!$B$3,V$1:AG$1,0)-1)*IF(OR(C61="L",C61="S",C61="I"),-1,1),"")</f>
        <v>0</v>
      </c>
      <c r="AW61" s="899">
        <f t="shared" si="3"/>
        <v>0</v>
      </c>
      <c r="AX61" s="899">
        <f>INDEX(V61:AG61,1,MATCH(Parametres!$B$3,V$1:AG$1,0))*IF(OR(C61="L",C61="S",C61="I"),-1,1)</f>
        <v>0</v>
      </c>
      <c r="AY61" s="487" t="s">
        <v>337</v>
      </c>
      <c r="AZ61" s="487" t="e">
        <f>+VLOOKUP($AJ61,Data_Validation!$A:$E,5,0)</f>
        <v>#N/A</v>
      </c>
    </row>
    <row r="62" spans="36:52" ht="15" customHeight="1">
      <c r="AJ62" s="899">
        <f t="shared" si="0"/>
        <v>0</v>
      </c>
      <c r="AK62" s="899">
        <f t="shared" si="0"/>
        <v>0</v>
      </c>
      <c r="AL62" s="905">
        <f>IFERROR(INDEX(G62:R62,1,MATCH(Parametres!$B$3,G$1:R$1,0)-1)*IF(OR(F62="L",F62="S",F62="I"),-1,1),"")</f>
        <v>0</v>
      </c>
      <c r="AM62" s="905">
        <f t="shared" si="1"/>
        <v>0</v>
      </c>
      <c r="AN62" s="905">
        <f>INDEX(G62:R62,1,MATCH(Parametres!$B$3,G$1:R$1,0))*IF(OR(F62="L",F62="S",F62="I"),-1,1)</f>
        <v>0</v>
      </c>
      <c r="AO62" s="487" t="e">
        <f>+VLOOKUP($AJ62,Data_Validation!$A:$D,1,0)</f>
        <v>#N/A</v>
      </c>
      <c r="AP62" s="487" t="e">
        <f>+VLOOKUP($AJ62,Data_Validation!$A:$D,3,0)</f>
        <v>#N/A</v>
      </c>
      <c r="AQ62" s="487" t="e">
        <f>+VLOOKUP($AJ62,Data_Validation!$A:$D,4,0)</f>
        <v>#N/A</v>
      </c>
      <c r="AR62" s="487" t="s">
        <v>299</v>
      </c>
      <c r="AS62" s="487" t="e">
        <f>+VLOOKUP($AJ62,Data_Validation!$A:$E,5,0)</f>
        <v>#N/A</v>
      </c>
      <c r="AT62" s="904">
        <f t="shared" si="2"/>
        <v>0</v>
      </c>
      <c r="AU62" s="488">
        <f t="shared" si="2"/>
        <v>0</v>
      </c>
      <c r="AV62" s="899">
        <f>IFERROR(INDEX(V62:AG62,1,MATCH(Parametres!$B$3,V$1:AG$1,0)-1)*IF(OR(C62="L",C62="S",C62="I"),-1,1),"")</f>
        <v>0</v>
      </c>
      <c r="AW62" s="899">
        <f t="shared" si="3"/>
        <v>0</v>
      </c>
      <c r="AX62" s="899">
        <f>INDEX(V62:AG62,1,MATCH(Parametres!$B$3,V$1:AG$1,0))*IF(OR(C62="L",C62="S",C62="I"),-1,1)</f>
        <v>0</v>
      </c>
      <c r="AY62" s="487" t="s">
        <v>337</v>
      </c>
      <c r="AZ62" s="487" t="e">
        <f>+VLOOKUP($AJ62,Data_Validation!$A:$E,5,0)</f>
        <v>#N/A</v>
      </c>
    </row>
    <row r="63" spans="36:52" ht="15" customHeight="1">
      <c r="AJ63" s="899">
        <f t="shared" si="0"/>
        <v>0</v>
      </c>
      <c r="AK63" s="899">
        <f t="shared" si="0"/>
        <v>0</v>
      </c>
      <c r="AL63" s="905">
        <f>IFERROR(INDEX(G63:R63,1,MATCH(Parametres!$B$3,G$1:R$1,0)-1)*IF(OR(F63="L",F63="S",F63="I"),-1,1),"")</f>
        <v>0</v>
      </c>
      <c r="AM63" s="905">
        <f t="shared" si="1"/>
        <v>0</v>
      </c>
      <c r="AN63" s="905">
        <f>INDEX(G63:R63,1,MATCH(Parametres!$B$3,G$1:R$1,0))*IF(OR(F63="L",F63="S",F63="I"),-1,1)</f>
        <v>0</v>
      </c>
      <c r="AO63" s="487" t="e">
        <f>+VLOOKUP($AJ63,Data_Validation!$A:$D,1,0)</f>
        <v>#N/A</v>
      </c>
      <c r="AP63" s="487" t="e">
        <f>+VLOOKUP($AJ63,Data_Validation!$A:$D,3,0)</f>
        <v>#N/A</v>
      </c>
      <c r="AQ63" s="487" t="e">
        <f>+VLOOKUP($AJ63,Data_Validation!$A:$D,4,0)</f>
        <v>#N/A</v>
      </c>
      <c r="AR63" s="487" t="s">
        <v>299</v>
      </c>
      <c r="AS63" s="487" t="e">
        <f>+VLOOKUP($AJ63,Data_Validation!$A:$E,5,0)</f>
        <v>#N/A</v>
      </c>
      <c r="AT63" s="904">
        <f t="shared" si="2"/>
        <v>0</v>
      </c>
      <c r="AU63" s="488">
        <f t="shared" si="2"/>
        <v>0</v>
      </c>
      <c r="AV63" s="899">
        <f>IFERROR(INDEX(V63:AG63,1,MATCH(Parametres!$B$3,V$1:AG$1,0)-1)*IF(OR(C63="L",C63="S",C63="I"),-1,1),"")</f>
        <v>0</v>
      </c>
      <c r="AW63" s="899">
        <f t="shared" si="3"/>
        <v>0</v>
      </c>
      <c r="AX63" s="899">
        <f>INDEX(V63:AG63,1,MATCH(Parametres!$B$3,V$1:AG$1,0))*IF(OR(C63="L",C63="S",C63="I"),-1,1)</f>
        <v>0</v>
      </c>
      <c r="AY63" s="487" t="s">
        <v>337</v>
      </c>
      <c r="AZ63" s="487" t="e">
        <f>+VLOOKUP($AJ63,Data_Validation!$A:$E,5,0)</f>
        <v>#N/A</v>
      </c>
    </row>
    <row r="64" spans="36:52" ht="15" customHeight="1">
      <c r="AJ64" s="899">
        <f t="shared" si="0"/>
        <v>0</v>
      </c>
      <c r="AK64" s="899">
        <f t="shared" si="0"/>
        <v>0</v>
      </c>
      <c r="AL64" s="905">
        <f>IFERROR(INDEX(G64:R64,1,MATCH(Parametres!$B$3,G$1:R$1,0)-1)*IF(OR(F64="L",F64="S",F64="I"),-1,1),"")</f>
        <v>0</v>
      </c>
      <c r="AM64" s="905">
        <f t="shared" si="1"/>
        <v>0</v>
      </c>
      <c r="AN64" s="905">
        <f>INDEX(G64:R64,1,MATCH(Parametres!$B$3,G$1:R$1,0))*IF(OR(F64="L",F64="S",F64="I"),-1,1)</f>
        <v>0</v>
      </c>
      <c r="AO64" s="487" t="e">
        <f>+VLOOKUP($AJ64,Data_Validation!$A:$D,1,0)</f>
        <v>#N/A</v>
      </c>
      <c r="AP64" s="487" t="e">
        <f>+VLOOKUP($AJ64,Data_Validation!$A:$D,3,0)</f>
        <v>#N/A</v>
      </c>
      <c r="AQ64" s="487" t="e">
        <f>+VLOOKUP($AJ64,Data_Validation!$A:$D,4,0)</f>
        <v>#N/A</v>
      </c>
      <c r="AR64" s="487" t="s">
        <v>299</v>
      </c>
      <c r="AS64" s="487" t="e">
        <f>+VLOOKUP($AJ64,Data_Validation!$A:$E,5,0)</f>
        <v>#N/A</v>
      </c>
      <c r="AT64" s="904">
        <f t="shared" si="2"/>
        <v>0</v>
      </c>
      <c r="AU64" s="488">
        <f t="shared" si="2"/>
        <v>0</v>
      </c>
      <c r="AV64" s="899">
        <f>IFERROR(INDEX(V64:AG64,1,MATCH(Parametres!$B$3,V$1:AG$1,0)-1)*IF(OR(C64="L",C64="S",C64="I"),-1,1),"")</f>
        <v>0</v>
      </c>
      <c r="AW64" s="899">
        <f t="shared" si="3"/>
        <v>0</v>
      </c>
      <c r="AX64" s="899">
        <f>INDEX(V64:AG64,1,MATCH(Parametres!$B$3,V$1:AG$1,0))*IF(OR(C64="L",C64="S",C64="I"),-1,1)</f>
        <v>0</v>
      </c>
      <c r="AY64" s="487" t="s">
        <v>337</v>
      </c>
      <c r="AZ64" s="487" t="e">
        <f>+VLOOKUP($AJ64,Data_Validation!$A:$E,5,0)</f>
        <v>#N/A</v>
      </c>
    </row>
    <row r="65" spans="36:52" ht="15" customHeight="1">
      <c r="AJ65" s="899">
        <f t="shared" si="0"/>
        <v>0</v>
      </c>
      <c r="AK65" s="899">
        <f t="shared" si="0"/>
        <v>0</v>
      </c>
      <c r="AL65" s="905">
        <f>IFERROR(INDEX(G65:R65,1,MATCH(Parametres!$B$3,G$1:R$1,0)-1)*IF(OR(F65="L",F65="S",F65="I"),-1,1),"")</f>
        <v>0</v>
      </c>
      <c r="AM65" s="905">
        <f t="shared" si="1"/>
        <v>0</v>
      </c>
      <c r="AN65" s="905">
        <f>INDEX(G65:R65,1,MATCH(Parametres!$B$3,G$1:R$1,0))*IF(OR(F65="L",F65="S",F65="I"),-1,1)</f>
        <v>0</v>
      </c>
      <c r="AO65" s="487" t="e">
        <f>+VLOOKUP($AJ65,Data_Validation!$A:$D,1,0)</f>
        <v>#N/A</v>
      </c>
      <c r="AP65" s="487" t="e">
        <f>+VLOOKUP($AJ65,Data_Validation!$A:$D,3,0)</f>
        <v>#N/A</v>
      </c>
      <c r="AQ65" s="487" t="e">
        <f>+VLOOKUP($AJ65,Data_Validation!$A:$D,4,0)</f>
        <v>#N/A</v>
      </c>
      <c r="AR65" s="487" t="s">
        <v>299</v>
      </c>
      <c r="AS65" s="487" t="e">
        <f>+VLOOKUP($AJ65,Data_Validation!$A:$E,5,0)</f>
        <v>#N/A</v>
      </c>
      <c r="AT65" s="904">
        <f t="shared" si="2"/>
        <v>0</v>
      </c>
      <c r="AU65" s="488">
        <f t="shared" si="2"/>
        <v>0</v>
      </c>
      <c r="AV65" s="899">
        <f>IFERROR(INDEX(V65:AG65,1,MATCH(Parametres!$B$3,V$1:AG$1,0)-1)*IF(OR(C65="L",C65="S",C65="I"),-1,1),"")</f>
        <v>0</v>
      </c>
      <c r="AW65" s="899">
        <f t="shared" si="3"/>
        <v>0</v>
      </c>
      <c r="AX65" s="899">
        <f>INDEX(V65:AG65,1,MATCH(Parametres!$B$3,V$1:AG$1,0))*IF(OR(C65="L",C65="S",C65="I"),-1,1)</f>
        <v>0</v>
      </c>
      <c r="AY65" s="487" t="s">
        <v>337</v>
      </c>
      <c r="AZ65" s="487" t="e">
        <f>+VLOOKUP($AJ65,Data_Validation!$A:$E,5,0)</f>
        <v>#N/A</v>
      </c>
    </row>
    <row r="66" spans="36:52" ht="15" customHeight="1">
      <c r="AJ66" s="899">
        <f t="shared" si="0"/>
        <v>0</v>
      </c>
      <c r="AK66" s="899">
        <f t="shared" si="0"/>
        <v>0</v>
      </c>
      <c r="AL66" s="905">
        <f>IFERROR(INDEX(G66:R66,1,MATCH(Parametres!$B$3,G$1:R$1,0)-1)*IF(OR(F66="L",F66="S",F66="I"),-1,1),"")</f>
        <v>0</v>
      </c>
      <c r="AM66" s="905">
        <f t="shared" si="1"/>
        <v>0</v>
      </c>
      <c r="AN66" s="905">
        <f>INDEX(G66:R66,1,MATCH(Parametres!$B$3,G$1:R$1,0))*IF(OR(F66="L",F66="S",F66="I"),-1,1)</f>
        <v>0</v>
      </c>
      <c r="AO66" s="487" t="e">
        <f>+VLOOKUP($AJ66,Data_Validation!$A:$D,1,0)</f>
        <v>#N/A</v>
      </c>
      <c r="AP66" s="487" t="e">
        <f>+VLOOKUP($AJ66,Data_Validation!$A:$D,3,0)</f>
        <v>#N/A</v>
      </c>
      <c r="AQ66" s="487" t="e">
        <f>+VLOOKUP($AJ66,Data_Validation!$A:$D,4,0)</f>
        <v>#N/A</v>
      </c>
      <c r="AR66" s="487" t="s">
        <v>299</v>
      </c>
      <c r="AS66" s="487" t="e">
        <f>+VLOOKUP($AJ66,Data_Validation!$A:$E,5,0)</f>
        <v>#N/A</v>
      </c>
      <c r="AT66" s="904">
        <f t="shared" si="2"/>
        <v>0</v>
      </c>
      <c r="AU66" s="488">
        <f t="shared" si="2"/>
        <v>0</v>
      </c>
      <c r="AV66" s="899">
        <f>IFERROR(INDEX(V66:AG66,1,MATCH(Parametres!$B$3,V$1:AG$1,0)-1)*IF(OR(C66="L",C66="S",C66="I"),-1,1),"")</f>
        <v>0</v>
      </c>
      <c r="AW66" s="899">
        <f t="shared" si="3"/>
        <v>0</v>
      </c>
      <c r="AX66" s="899">
        <f>INDEX(V66:AG66,1,MATCH(Parametres!$B$3,V$1:AG$1,0))*IF(OR(C66="L",C66="S",C66="I"),-1,1)</f>
        <v>0</v>
      </c>
      <c r="AY66" s="487" t="s">
        <v>337</v>
      </c>
      <c r="AZ66" s="487" t="e">
        <f>+VLOOKUP($AJ66,Data_Validation!$A:$E,5,0)</f>
        <v>#N/A</v>
      </c>
    </row>
    <row r="67" spans="36:52" ht="15" customHeight="1">
      <c r="AJ67" s="899">
        <f t="shared" si="0"/>
        <v>0</v>
      </c>
      <c r="AK67" s="899">
        <f t="shared" si="0"/>
        <v>0</v>
      </c>
      <c r="AL67" s="905">
        <f>IFERROR(INDEX(G67:R67,1,MATCH(Parametres!$B$3,G$1:R$1,0)-1)*IF(OR(F67="L",F67="S",F67="I"),-1,1),"")</f>
        <v>0</v>
      </c>
      <c r="AM67" s="905">
        <f t="shared" si="1"/>
        <v>0</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f t="shared" si="2"/>
        <v>0</v>
      </c>
      <c r="AU67" s="488">
        <f t="shared" si="2"/>
        <v>0</v>
      </c>
      <c r="AV67" s="899">
        <f>IFERROR(INDEX(V67:AG67,1,MATCH(Parametres!$B$3,V$1:AG$1,0)-1)*IF(OR(C67="L",C67="S",C67="I"),-1,1),"")</f>
        <v>0</v>
      </c>
      <c r="AW67" s="899">
        <f t="shared" si="3"/>
        <v>0</v>
      </c>
      <c r="AX67" s="899">
        <f>INDEX(V67:AG67,1,MATCH(Parametres!$B$3,V$1:AG$1,0))*IF(OR(C67="L",C67="S",C67="I"),-1,1)</f>
        <v>0</v>
      </c>
      <c r="AY67" s="487" t="s">
        <v>337</v>
      </c>
      <c r="AZ67" s="487" t="e">
        <f>+VLOOKUP($AJ67,Data_Validation!$A:$E,5,0)</f>
        <v>#N/A</v>
      </c>
    </row>
    <row r="68" spans="36:52" ht="15" customHeight="1">
      <c r="AJ68" s="899">
        <f t="shared" ref="AJ68:AK131" si="4">C68</f>
        <v>0</v>
      </c>
      <c r="AK68" s="899">
        <f t="shared" si="4"/>
        <v>0</v>
      </c>
      <c r="AL68" s="905">
        <f>IFERROR(INDEX(G68:R68,1,MATCH(Parametres!$B$3,G$1:R$1,0)-1)*IF(OR(F68="L",F68="S",F68="I"),-1,1),"")</f>
        <v>0</v>
      </c>
      <c r="AM68" s="905">
        <f t="shared" ref="AM68:AM131" si="5">AN68-AL68</f>
        <v>0</v>
      </c>
      <c r="AN68" s="905">
        <f>INDEX(G68:R68,1,MATCH(Parametres!$B$3,G$1:R$1,0))*IF(OR(F68="L",F68="S",F68="I"),-1,1)</f>
        <v>0</v>
      </c>
      <c r="AO68" s="487" t="e">
        <f>+VLOOKUP($AJ68,Data_Validation!$A:$D,1,0)</f>
        <v>#N/A</v>
      </c>
      <c r="AP68" s="487" t="e">
        <f>+VLOOKUP($AJ68,Data_Validation!$A:$D,3,0)</f>
        <v>#N/A</v>
      </c>
      <c r="AQ68" s="487" t="e">
        <f>+VLOOKUP($AJ68,Data_Validation!$A:$D,4,0)</f>
        <v>#N/A</v>
      </c>
      <c r="AR68" s="487" t="s">
        <v>299</v>
      </c>
      <c r="AS68" s="487" t="e">
        <f>+VLOOKUP($AJ68,Data_Validation!$A:$E,5,0)</f>
        <v>#N/A</v>
      </c>
      <c r="AT68" s="904">
        <f t="shared" ref="AT68:AU131" si="6">C68</f>
        <v>0</v>
      </c>
      <c r="AU68" s="488">
        <f t="shared" si="6"/>
        <v>0</v>
      </c>
      <c r="AV68" s="899">
        <f>IFERROR(INDEX(V68:AG68,1,MATCH(Parametres!$B$3,V$1:AG$1,0)-1)*IF(OR(C68="L",C68="S",C68="I"),-1,1),"")</f>
        <v>0</v>
      </c>
      <c r="AW68" s="899">
        <f t="shared" ref="AW68:AW131" si="7">AX68-AV68</f>
        <v>0</v>
      </c>
      <c r="AX68" s="899">
        <f>INDEX(V68:AG68,1,MATCH(Parametres!$B$3,V$1:AG$1,0))*IF(OR(C68="L",C68="S",C68="I"),-1,1)</f>
        <v>0</v>
      </c>
      <c r="AY68" s="487" t="s">
        <v>337</v>
      </c>
      <c r="AZ68" s="487" t="e">
        <f>+VLOOKUP($AJ68,Data_Validation!$A:$E,5,0)</f>
        <v>#N/A</v>
      </c>
    </row>
    <row r="69" spans="36:52" ht="15" customHeight="1">
      <c r="AJ69" s="899">
        <f t="shared" si="4"/>
        <v>0</v>
      </c>
      <c r="AK69" s="899">
        <f t="shared" si="4"/>
        <v>0</v>
      </c>
      <c r="AL69" s="905">
        <f>IFERROR(INDEX(G69:R69,1,MATCH(Parametres!$B$3,G$1:R$1,0)-1)*IF(OR(F69="L",F69="S",F69="I"),-1,1),"")</f>
        <v>0</v>
      </c>
      <c r="AM69" s="905">
        <f t="shared" si="5"/>
        <v>0</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f t="shared" si="6"/>
        <v>0</v>
      </c>
      <c r="AU69" s="488">
        <f t="shared" si="6"/>
        <v>0</v>
      </c>
      <c r="AV69" s="899">
        <f>IFERROR(INDEX(V69:AG69,1,MATCH(Parametres!$B$3,V$1:AG$1,0)-1)*IF(OR(C69="L",C69="S",C69="I"),-1,1),"")</f>
        <v>0</v>
      </c>
      <c r="AW69" s="899">
        <f t="shared" si="7"/>
        <v>0</v>
      </c>
      <c r="AX69" s="899">
        <f>INDEX(V69:AG69,1,MATCH(Parametres!$B$3,V$1:AG$1,0))*IF(OR(C69="L",C69="S",C69="I"),-1,1)</f>
        <v>0</v>
      </c>
      <c r="AY69" s="487" t="s">
        <v>337</v>
      </c>
      <c r="AZ69" s="487" t="e">
        <f>+VLOOKUP($AJ69,Data_Validation!$A:$E,5,0)</f>
        <v>#N/A</v>
      </c>
    </row>
    <row r="70" spans="36:52" ht="15" customHeight="1">
      <c r="AJ70" s="899">
        <f t="shared" si="4"/>
        <v>0</v>
      </c>
      <c r="AK70" s="899">
        <f t="shared" si="4"/>
        <v>0</v>
      </c>
      <c r="AL70" s="905">
        <f>IFERROR(INDEX(G70:R70,1,MATCH(Parametres!$B$3,G$1:R$1,0)-1)*IF(OR(F70="L",F70="S",F70="I"),-1,1),"")</f>
        <v>0</v>
      </c>
      <c r="AM70" s="905">
        <f t="shared" si="5"/>
        <v>0</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f t="shared" si="6"/>
        <v>0</v>
      </c>
      <c r="AU70" s="488">
        <f t="shared" si="6"/>
        <v>0</v>
      </c>
      <c r="AV70" s="899">
        <f>IFERROR(INDEX(V70:AG70,1,MATCH(Parametres!$B$3,V$1:AG$1,0)-1)*IF(OR(C70="L",C70="S",C70="I"),-1,1),"")</f>
        <v>0</v>
      </c>
      <c r="AW70" s="899">
        <f t="shared" si="7"/>
        <v>0</v>
      </c>
      <c r="AX70" s="899">
        <f>INDEX(V70:AG70,1,MATCH(Parametres!$B$3,V$1:AG$1,0))*IF(OR(C70="L",C70="S",C70="I"),-1,1)</f>
        <v>0</v>
      </c>
      <c r="AY70" s="487" t="s">
        <v>337</v>
      </c>
      <c r="AZ70" s="487" t="e">
        <f>+VLOOKUP($AJ70,Data_Validation!$A:$E,5,0)</f>
        <v>#N/A</v>
      </c>
    </row>
    <row r="71" spans="36:52" ht="15" customHeight="1">
      <c r="AJ71" s="899">
        <f t="shared" si="4"/>
        <v>0</v>
      </c>
      <c r="AK71" s="899">
        <f t="shared" si="4"/>
        <v>0</v>
      </c>
      <c r="AL71" s="905">
        <f>IFERROR(INDEX(G71:R71,1,MATCH(Parametres!$B$3,G$1:R$1,0)-1)*IF(OR(F71="L",F71="S",F71="I"),-1,1),"")</f>
        <v>0</v>
      </c>
      <c r="AM71" s="905">
        <f t="shared" si="5"/>
        <v>0</v>
      </c>
      <c r="AN71" s="905">
        <f>INDEX(G71:R71,1,MATCH(Parametres!$B$3,G$1:R$1,0))*IF(OR(F71="L",F71="S",F71="I"),-1,1)</f>
        <v>0</v>
      </c>
      <c r="AO71" s="487" t="e">
        <f>+VLOOKUP($AJ71,Data_Validation!$A:$D,1,0)</f>
        <v>#N/A</v>
      </c>
      <c r="AP71" s="487" t="e">
        <f>+VLOOKUP($AJ71,Data_Validation!$A:$D,3,0)</f>
        <v>#N/A</v>
      </c>
      <c r="AQ71" s="487" t="e">
        <f>+VLOOKUP($AJ71,Data_Validation!$A:$D,4,0)</f>
        <v>#N/A</v>
      </c>
      <c r="AR71" s="487" t="s">
        <v>299</v>
      </c>
      <c r="AS71" s="487" t="e">
        <f>+VLOOKUP($AJ71,Data_Validation!$A:$E,5,0)</f>
        <v>#N/A</v>
      </c>
      <c r="AT71" s="904">
        <f t="shared" si="6"/>
        <v>0</v>
      </c>
      <c r="AU71" s="488">
        <f t="shared" si="6"/>
        <v>0</v>
      </c>
      <c r="AV71" s="899">
        <f>IFERROR(INDEX(V71:AG71,1,MATCH(Parametres!$B$3,V$1:AG$1,0)-1)*IF(OR(C71="L",C71="S",C71="I"),-1,1),"")</f>
        <v>0</v>
      </c>
      <c r="AW71" s="899">
        <f t="shared" si="7"/>
        <v>0</v>
      </c>
      <c r="AX71" s="899">
        <f>INDEX(V71:AG71,1,MATCH(Parametres!$B$3,V$1:AG$1,0))*IF(OR(C71="L",C71="S",C71="I"),-1,1)</f>
        <v>0</v>
      </c>
      <c r="AY71" s="487" t="s">
        <v>337</v>
      </c>
      <c r="AZ71" s="487" t="e">
        <f>+VLOOKUP($AJ71,Data_Validation!$A:$E,5,0)</f>
        <v>#N/A</v>
      </c>
    </row>
    <row r="72" spans="36:52" ht="15" customHeight="1">
      <c r="AJ72" s="899">
        <f t="shared" si="4"/>
        <v>0</v>
      </c>
      <c r="AK72" s="899">
        <f t="shared" si="4"/>
        <v>0</v>
      </c>
      <c r="AL72" s="905">
        <f>IFERROR(INDEX(G72:R72,1,MATCH(Parametres!$B$3,G$1:R$1,0)-1)*IF(OR(F72="L",F72="S",F72="I"),-1,1),"")</f>
        <v>0</v>
      </c>
      <c r="AM72" s="905">
        <f t="shared" si="5"/>
        <v>0</v>
      </c>
      <c r="AN72" s="905">
        <f>INDEX(G72:R72,1,MATCH(Parametres!$B$3,G$1:R$1,0))*IF(OR(F72="L",F72="S",F72="I"),-1,1)</f>
        <v>0</v>
      </c>
      <c r="AO72" s="487" t="e">
        <f>+VLOOKUP($AJ72,Data_Validation!$A:$D,1,0)</f>
        <v>#N/A</v>
      </c>
      <c r="AP72" s="487" t="e">
        <f>+VLOOKUP($AJ72,Data_Validation!$A:$D,3,0)</f>
        <v>#N/A</v>
      </c>
      <c r="AQ72" s="487" t="e">
        <f>+VLOOKUP($AJ72,Data_Validation!$A:$D,4,0)</f>
        <v>#N/A</v>
      </c>
      <c r="AR72" s="487" t="s">
        <v>299</v>
      </c>
      <c r="AS72" s="487" t="e">
        <f>+VLOOKUP($AJ72,Data_Validation!$A:$E,5,0)</f>
        <v>#N/A</v>
      </c>
      <c r="AT72" s="904">
        <f t="shared" si="6"/>
        <v>0</v>
      </c>
      <c r="AU72" s="488">
        <f t="shared" si="6"/>
        <v>0</v>
      </c>
      <c r="AV72" s="899">
        <f>IFERROR(INDEX(V72:AG72,1,MATCH(Parametres!$B$3,V$1:AG$1,0)-1)*IF(OR(C72="L",C72="S",C72="I"),-1,1),"")</f>
        <v>0</v>
      </c>
      <c r="AW72" s="899">
        <f t="shared" si="7"/>
        <v>0</v>
      </c>
      <c r="AX72" s="899">
        <f>INDEX(V72:AG72,1,MATCH(Parametres!$B$3,V$1:AG$1,0))*IF(OR(C72="L",C72="S",C72="I"),-1,1)</f>
        <v>0</v>
      </c>
      <c r="AY72" s="487" t="s">
        <v>337</v>
      </c>
      <c r="AZ72" s="487" t="e">
        <f>+VLOOKUP($AJ72,Data_Validation!$A:$E,5,0)</f>
        <v>#N/A</v>
      </c>
    </row>
    <row r="73" spans="36:52" ht="15" customHeight="1">
      <c r="AJ73" s="899">
        <f t="shared" si="4"/>
        <v>0</v>
      </c>
      <c r="AK73" s="899">
        <f t="shared" si="4"/>
        <v>0</v>
      </c>
      <c r="AL73" s="905">
        <f>IFERROR(INDEX(G73:R73,1,MATCH(Parametres!$B$3,G$1:R$1,0)-1)*IF(OR(F73="L",F73="S",F73="I"),-1,1),"")</f>
        <v>0</v>
      </c>
      <c r="AM73" s="905">
        <f t="shared" si="5"/>
        <v>0</v>
      </c>
      <c r="AN73" s="905">
        <f>INDEX(G73:R73,1,MATCH(Parametres!$B$3,G$1:R$1,0))*IF(OR(F73="L",F73="S",F73="I"),-1,1)</f>
        <v>0</v>
      </c>
      <c r="AO73" s="487" t="e">
        <f>+VLOOKUP($AJ73,Data_Validation!$A:$D,1,0)</f>
        <v>#N/A</v>
      </c>
      <c r="AP73" s="487" t="e">
        <f>+VLOOKUP($AJ73,Data_Validation!$A:$D,3,0)</f>
        <v>#N/A</v>
      </c>
      <c r="AQ73" s="487" t="e">
        <f>+VLOOKUP($AJ73,Data_Validation!$A:$D,4,0)</f>
        <v>#N/A</v>
      </c>
      <c r="AR73" s="487" t="s">
        <v>299</v>
      </c>
      <c r="AS73" s="487" t="e">
        <f>+VLOOKUP($AJ73,Data_Validation!$A:$E,5,0)</f>
        <v>#N/A</v>
      </c>
      <c r="AT73" s="904">
        <f t="shared" si="6"/>
        <v>0</v>
      </c>
      <c r="AU73" s="488">
        <f t="shared" si="6"/>
        <v>0</v>
      </c>
      <c r="AV73" s="899">
        <f>IFERROR(INDEX(V73:AG73,1,MATCH(Parametres!$B$3,V$1:AG$1,0)-1)*IF(OR(C73="L",C73="S",C73="I"),-1,1),"")</f>
        <v>0</v>
      </c>
      <c r="AW73" s="899">
        <f t="shared" si="7"/>
        <v>0</v>
      </c>
      <c r="AX73" s="899">
        <f>INDEX(V73:AG73,1,MATCH(Parametres!$B$3,V$1:AG$1,0))*IF(OR(C73="L",C73="S",C73="I"),-1,1)</f>
        <v>0</v>
      </c>
      <c r="AY73" s="487" t="s">
        <v>337</v>
      </c>
      <c r="AZ73" s="487" t="e">
        <f>+VLOOKUP($AJ73,Data_Validation!$A:$E,5,0)</f>
        <v>#N/A</v>
      </c>
    </row>
    <row r="74" spans="36:52" ht="15" customHeight="1">
      <c r="AJ74" s="899">
        <f t="shared" si="4"/>
        <v>0</v>
      </c>
      <c r="AK74" s="899">
        <f t="shared" si="4"/>
        <v>0</v>
      </c>
      <c r="AL74" s="905">
        <f>IFERROR(INDEX(G74:R74,1,MATCH(Parametres!$B$3,G$1:R$1,0)-1)*IF(OR(F74="L",F74="S",F74="I"),-1,1),"")</f>
        <v>0</v>
      </c>
      <c r="AM74" s="905">
        <f t="shared" si="5"/>
        <v>0</v>
      </c>
      <c r="AN74" s="905">
        <f>INDEX(G74:R74,1,MATCH(Parametres!$B$3,G$1:R$1,0))*IF(OR(F74="L",F74="S",F74="I"),-1,1)</f>
        <v>0</v>
      </c>
      <c r="AO74" s="487" t="e">
        <f>+VLOOKUP($AJ74,Data_Validation!$A:$D,1,0)</f>
        <v>#N/A</v>
      </c>
      <c r="AP74" s="487" t="e">
        <f>+VLOOKUP($AJ74,Data_Validation!$A:$D,3,0)</f>
        <v>#N/A</v>
      </c>
      <c r="AQ74" s="487" t="e">
        <f>+VLOOKUP($AJ74,Data_Validation!$A:$D,4,0)</f>
        <v>#N/A</v>
      </c>
      <c r="AR74" s="487" t="s">
        <v>299</v>
      </c>
      <c r="AS74" s="487" t="e">
        <f>+VLOOKUP($AJ74,Data_Validation!$A:$E,5,0)</f>
        <v>#N/A</v>
      </c>
      <c r="AT74" s="904">
        <f t="shared" si="6"/>
        <v>0</v>
      </c>
      <c r="AU74" s="488">
        <f t="shared" si="6"/>
        <v>0</v>
      </c>
      <c r="AV74" s="899">
        <f>IFERROR(INDEX(V74:AG74,1,MATCH(Parametres!$B$3,V$1:AG$1,0)-1)*IF(OR(C74="L",C74="S",C74="I"),-1,1),"")</f>
        <v>0</v>
      </c>
      <c r="AW74" s="899">
        <f t="shared" si="7"/>
        <v>0</v>
      </c>
      <c r="AX74" s="899">
        <f>INDEX(V74:AG74,1,MATCH(Parametres!$B$3,V$1:AG$1,0))*IF(OR(C74="L",C74="S",C74="I"),-1,1)</f>
        <v>0</v>
      </c>
      <c r="AY74" s="487" t="s">
        <v>337</v>
      </c>
      <c r="AZ74" s="487" t="e">
        <f>+VLOOKUP($AJ74,Data_Validation!$A:$E,5,0)</f>
        <v>#N/A</v>
      </c>
    </row>
    <row r="75" spans="36:52" ht="15" customHeight="1">
      <c r="AJ75" s="899">
        <f t="shared" si="4"/>
        <v>0</v>
      </c>
      <c r="AK75" s="899">
        <f t="shared" si="4"/>
        <v>0</v>
      </c>
      <c r="AL75" s="905">
        <f>IFERROR(INDEX(G75:R75,1,MATCH(Parametres!$B$3,G$1:R$1,0)-1)*IF(OR(F75="L",F75="S",F75="I"),-1,1),"")</f>
        <v>0</v>
      </c>
      <c r="AM75" s="905">
        <f t="shared" si="5"/>
        <v>0</v>
      </c>
      <c r="AN75" s="905">
        <f>INDEX(G75:R75,1,MATCH(Parametres!$B$3,G$1:R$1,0))*IF(OR(F75="L",F75="S",F75="I"),-1,1)</f>
        <v>0</v>
      </c>
      <c r="AO75" s="487" t="e">
        <f>+VLOOKUP($AJ75,Data_Validation!$A:$D,1,0)</f>
        <v>#N/A</v>
      </c>
      <c r="AP75" s="487" t="e">
        <f>+VLOOKUP($AJ75,Data_Validation!$A:$D,3,0)</f>
        <v>#N/A</v>
      </c>
      <c r="AQ75" s="487" t="e">
        <f>+VLOOKUP($AJ75,Data_Validation!$A:$D,4,0)</f>
        <v>#N/A</v>
      </c>
      <c r="AR75" s="487" t="s">
        <v>299</v>
      </c>
      <c r="AS75" s="487" t="e">
        <f>+VLOOKUP($AJ75,Data_Validation!$A:$E,5,0)</f>
        <v>#N/A</v>
      </c>
      <c r="AT75" s="904">
        <f t="shared" si="6"/>
        <v>0</v>
      </c>
      <c r="AU75" s="488">
        <f t="shared" si="6"/>
        <v>0</v>
      </c>
      <c r="AV75" s="899">
        <f>IFERROR(INDEX(V75:AG75,1,MATCH(Parametres!$B$3,V$1:AG$1,0)-1)*IF(OR(C75="L",C75="S",C75="I"),-1,1),"")</f>
        <v>0</v>
      </c>
      <c r="AW75" s="899">
        <f t="shared" si="7"/>
        <v>0</v>
      </c>
      <c r="AX75" s="899">
        <f>INDEX(V75:AG75,1,MATCH(Parametres!$B$3,V$1:AG$1,0))*IF(OR(C75="L",C75="S",C75="I"),-1,1)</f>
        <v>0</v>
      </c>
      <c r="AY75" s="487" t="s">
        <v>337</v>
      </c>
      <c r="AZ75" s="487" t="e">
        <f>+VLOOKUP($AJ75,Data_Validation!$A:$E,5,0)</f>
        <v>#N/A</v>
      </c>
    </row>
    <row r="76" spans="36:52" ht="15" customHeight="1">
      <c r="AJ76" s="899">
        <f t="shared" si="4"/>
        <v>0</v>
      </c>
      <c r="AK76" s="899">
        <f t="shared" si="4"/>
        <v>0</v>
      </c>
      <c r="AL76" s="905">
        <f>IFERROR(INDEX(G76:R76,1,MATCH(Parametres!$B$3,G$1:R$1,0)-1)*IF(OR(F76="L",F76="S",F76="I"),-1,1),"")</f>
        <v>0</v>
      </c>
      <c r="AM76" s="905">
        <f t="shared" si="5"/>
        <v>0</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f t="shared" si="6"/>
        <v>0</v>
      </c>
      <c r="AU76" s="488">
        <f t="shared" si="6"/>
        <v>0</v>
      </c>
      <c r="AV76" s="899">
        <f>IFERROR(INDEX(V76:AG76,1,MATCH(Parametres!$B$3,V$1:AG$1,0)-1)*IF(OR(C76="L",C76="S",C76="I"),-1,1),"")</f>
        <v>0</v>
      </c>
      <c r="AW76" s="899">
        <f t="shared" si="7"/>
        <v>0</v>
      </c>
      <c r="AX76" s="899">
        <f>INDEX(V76:AG76,1,MATCH(Parametres!$B$3,V$1:AG$1,0))*IF(OR(C76="L",C76="S",C76="I"),-1,1)</f>
        <v>0</v>
      </c>
      <c r="AY76" s="487" t="s">
        <v>337</v>
      </c>
      <c r="AZ76" s="487" t="e">
        <f>+VLOOKUP($AJ76,Data_Validation!$A:$E,5,0)</f>
        <v>#N/A</v>
      </c>
    </row>
    <row r="77" spans="36:52" ht="15" customHeight="1">
      <c r="AJ77" s="899">
        <f t="shared" si="4"/>
        <v>0</v>
      </c>
      <c r="AK77" s="899">
        <f t="shared" si="4"/>
        <v>0</v>
      </c>
      <c r="AL77" s="905">
        <f>IFERROR(INDEX(G77:R77,1,MATCH(Parametres!$B$3,G$1:R$1,0)-1)*IF(OR(F77="L",F77="S",F77="I"),-1,1),"")</f>
        <v>0</v>
      </c>
      <c r="AM77" s="905">
        <f t="shared" si="5"/>
        <v>0</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f t="shared" si="6"/>
        <v>0</v>
      </c>
      <c r="AU77" s="488">
        <f t="shared" si="6"/>
        <v>0</v>
      </c>
      <c r="AV77" s="899">
        <f>IFERROR(INDEX(V77:AG77,1,MATCH(Parametres!$B$3,V$1:AG$1,0)-1)*IF(OR(C77="L",C77="S",C77="I"),-1,1),"")</f>
        <v>0</v>
      </c>
      <c r="AW77" s="899">
        <f t="shared" si="7"/>
        <v>0</v>
      </c>
      <c r="AX77" s="899">
        <f>INDEX(V77:AG77,1,MATCH(Parametres!$B$3,V$1:AG$1,0))*IF(OR(C77="L",C77="S",C77="I"),-1,1)</f>
        <v>0</v>
      </c>
      <c r="AY77" s="487" t="s">
        <v>337</v>
      </c>
      <c r="AZ77" s="487" t="e">
        <f>+VLOOKUP($AJ77,Data_Validation!$A:$E,5,0)</f>
        <v>#N/A</v>
      </c>
    </row>
    <row r="78" spans="36:52" ht="15" customHeight="1">
      <c r="AJ78" s="899">
        <f t="shared" si="4"/>
        <v>0</v>
      </c>
      <c r="AK78" s="899">
        <f t="shared" si="4"/>
        <v>0</v>
      </c>
      <c r="AL78" s="905">
        <f>IFERROR(INDEX(G78:R78,1,MATCH(Parametres!$B$3,G$1:R$1,0)-1)*IF(OR(F78="L",F78="S",F78="I"),-1,1),"")</f>
        <v>0</v>
      </c>
      <c r="AM78" s="905">
        <f t="shared" si="5"/>
        <v>0</v>
      </c>
      <c r="AN78" s="905">
        <f>INDEX(G78:R78,1,MATCH(Parametres!$B$3,G$1:R$1,0))*IF(OR(F78="L",F78="S",F78="I"),-1,1)</f>
        <v>0</v>
      </c>
      <c r="AO78" s="487" t="e">
        <f>+VLOOKUP($AJ78,Data_Validation!$A:$D,1,0)</f>
        <v>#N/A</v>
      </c>
      <c r="AP78" s="487" t="e">
        <f>+VLOOKUP($AJ78,Data_Validation!$A:$D,3,0)</f>
        <v>#N/A</v>
      </c>
      <c r="AQ78" s="487" t="e">
        <f>+VLOOKUP($AJ78,Data_Validation!$A:$D,4,0)</f>
        <v>#N/A</v>
      </c>
      <c r="AR78" s="487" t="s">
        <v>299</v>
      </c>
      <c r="AS78" s="487" t="e">
        <f>+VLOOKUP($AJ78,Data_Validation!$A:$E,5,0)</f>
        <v>#N/A</v>
      </c>
      <c r="AT78" s="904">
        <f t="shared" si="6"/>
        <v>0</v>
      </c>
      <c r="AU78" s="488">
        <f t="shared" si="6"/>
        <v>0</v>
      </c>
      <c r="AV78" s="899">
        <f>IFERROR(INDEX(V78:AG78,1,MATCH(Parametres!$B$3,V$1:AG$1,0)-1)*IF(OR(C78="L",C78="S",C78="I"),-1,1),"")</f>
        <v>0</v>
      </c>
      <c r="AW78" s="899">
        <f t="shared" si="7"/>
        <v>0</v>
      </c>
      <c r="AX78" s="899">
        <f>INDEX(V78:AG78,1,MATCH(Parametres!$B$3,V$1:AG$1,0))*IF(OR(C78="L",C78="S",C78="I"),-1,1)</f>
        <v>0</v>
      </c>
      <c r="AY78" s="487" t="s">
        <v>337</v>
      </c>
      <c r="AZ78" s="487" t="e">
        <f>+VLOOKUP($AJ78,Data_Validation!$A:$E,5,0)</f>
        <v>#N/A</v>
      </c>
    </row>
    <row r="79" spans="36:52" ht="15" customHeight="1">
      <c r="AJ79" s="899">
        <f t="shared" si="4"/>
        <v>0</v>
      </c>
      <c r="AK79" s="899">
        <f t="shared" si="4"/>
        <v>0</v>
      </c>
      <c r="AL79" s="905">
        <f>IFERROR(INDEX(G79:R79,1,MATCH(Parametres!$B$3,G$1:R$1,0)-1)*IF(OR(F79="L",F79="S",F79="I"),-1,1),"")</f>
        <v>0</v>
      </c>
      <c r="AM79" s="905">
        <f t="shared" si="5"/>
        <v>0</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f t="shared" si="6"/>
        <v>0</v>
      </c>
      <c r="AU79" s="488">
        <f t="shared" si="6"/>
        <v>0</v>
      </c>
      <c r="AV79" s="899">
        <f>IFERROR(INDEX(V79:AG79,1,MATCH(Parametres!$B$3,V$1:AG$1,0)-1)*IF(OR(C79="L",C79="S",C79="I"),-1,1),"")</f>
        <v>0</v>
      </c>
      <c r="AW79" s="899">
        <f t="shared" si="7"/>
        <v>0</v>
      </c>
      <c r="AX79" s="899">
        <f>INDEX(V79:AG79,1,MATCH(Parametres!$B$3,V$1:AG$1,0))*IF(OR(C79="L",C79="S",C79="I"),-1,1)</f>
        <v>0</v>
      </c>
      <c r="AY79" s="487" t="s">
        <v>337</v>
      </c>
      <c r="AZ79" s="487" t="e">
        <f>+VLOOKUP($AJ79,Data_Validation!$A:$E,5,0)</f>
        <v>#N/A</v>
      </c>
    </row>
    <row r="80" spans="36:52" ht="15.75" customHeight="1">
      <c r="AJ80" s="899">
        <f t="shared" si="4"/>
        <v>0</v>
      </c>
      <c r="AK80" s="899">
        <f t="shared" si="4"/>
        <v>0</v>
      </c>
      <c r="AL80" s="905">
        <f>IFERROR(INDEX(G80:R80,1,MATCH(Parametres!$B$3,G$1:R$1,0)-1)*IF(OR(F80="L",F80="S",F80="I"),-1,1),"")</f>
        <v>0</v>
      </c>
      <c r="AM80" s="905">
        <f t="shared" si="5"/>
        <v>0</v>
      </c>
      <c r="AN80" s="905">
        <f>INDEX(G80:R80,1,MATCH(Parametres!$B$3,G$1:R$1,0))*IF(OR(F80="L",F80="S",F80="I"),-1,1)</f>
        <v>0</v>
      </c>
      <c r="AO80" s="487" t="e">
        <f>+VLOOKUP($AJ80,Data_Validation!$A:$D,1,0)</f>
        <v>#N/A</v>
      </c>
      <c r="AP80" s="487" t="e">
        <f>+VLOOKUP($AJ80,Data_Validation!$A:$D,3,0)</f>
        <v>#N/A</v>
      </c>
      <c r="AQ80" s="487" t="e">
        <f>+VLOOKUP($AJ80,Data_Validation!$A:$D,4,0)</f>
        <v>#N/A</v>
      </c>
      <c r="AR80" s="487" t="s">
        <v>299</v>
      </c>
      <c r="AS80" s="487" t="e">
        <f>+VLOOKUP($AJ80,Data_Validation!$A:$E,5,0)</f>
        <v>#N/A</v>
      </c>
      <c r="AT80" s="904">
        <f t="shared" si="6"/>
        <v>0</v>
      </c>
      <c r="AU80" s="488">
        <f t="shared" si="6"/>
        <v>0</v>
      </c>
      <c r="AV80" s="899">
        <f>IFERROR(INDEX(V80:AG80,1,MATCH(Parametres!$B$3,V$1:AG$1,0)-1)*IF(OR(C80="L",C80="S",C80="I"),-1,1),"")</f>
        <v>0</v>
      </c>
      <c r="AW80" s="899">
        <f t="shared" si="7"/>
        <v>0</v>
      </c>
      <c r="AX80" s="899">
        <f>INDEX(V80:AG80,1,MATCH(Parametres!$B$3,V$1:AG$1,0))*IF(OR(C80="L",C80="S",C80="I"),-1,1)</f>
        <v>0</v>
      </c>
      <c r="AY80" s="487" t="s">
        <v>337</v>
      </c>
      <c r="AZ80" s="487" t="e">
        <f>+VLOOKUP($AJ80,Data_Validation!$A:$E,5,0)</f>
        <v>#N/A</v>
      </c>
    </row>
    <row r="81" spans="36:52" ht="15" customHeight="1">
      <c r="AJ81" s="899">
        <f t="shared" si="4"/>
        <v>0</v>
      </c>
      <c r="AK81" s="899">
        <f t="shared" si="4"/>
        <v>0</v>
      </c>
      <c r="AL81" s="905">
        <f>IFERROR(INDEX(G81:R81,1,MATCH(Parametres!$B$3,G$1:R$1,0)-1)*IF(OR(F81="L",F81="S",F81="I"),-1,1),"")</f>
        <v>0</v>
      </c>
      <c r="AM81" s="905">
        <f t="shared" si="5"/>
        <v>0</v>
      </c>
      <c r="AN81" s="905">
        <f>INDEX(G81:R81,1,MATCH(Parametres!$B$3,G$1:R$1,0))*IF(OR(F81="L",F81="S",F81="I"),-1,1)</f>
        <v>0</v>
      </c>
      <c r="AO81" s="487" t="e">
        <f>+VLOOKUP($AJ81,Data_Validation!$A:$D,1,0)</f>
        <v>#N/A</v>
      </c>
      <c r="AP81" s="487" t="e">
        <f>+VLOOKUP($AJ81,Data_Validation!$A:$D,3,0)</f>
        <v>#N/A</v>
      </c>
      <c r="AQ81" s="487" t="e">
        <f>+VLOOKUP($AJ81,Data_Validation!$A:$D,4,0)</f>
        <v>#N/A</v>
      </c>
      <c r="AR81" s="487" t="s">
        <v>299</v>
      </c>
      <c r="AS81" s="487" t="e">
        <f>+VLOOKUP($AJ81,Data_Validation!$A:$E,5,0)</f>
        <v>#N/A</v>
      </c>
      <c r="AT81" s="904">
        <f t="shared" si="6"/>
        <v>0</v>
      </c>
      <c r="AU81" s="488">
        <f t="shared" si="6"/>
        <v>0</v>
      </c>
      <c r="AV81" s="899">
        <f>IFERROR(INDEX(V81:AG81,1,MATCH(Parametres!$B$3,V$1:AG$1,0)-1)*IF(OR(C81="L",C81="S",C81="I"),-1,1),"")</f>
        <v>0</v>
      </c>
      <c r="AW81" s="899">
        <f t="shared" si="7"/>
        <v>0</v>
      </c>
      <c r="AX81" s="899">
        <f>INDEX(V81:AG81,1,MATCH(Parametres!$B$3,V$1:AG$1,0))*IF(OR(C81="L",C81="S",C81="I"),-1,1)</f>
        <v>0</v>
      </c>
      <c r="AY81" s="487" t="s">
        <v>337</v>
      </c>
      <c r="AZ81" s="487" t="e">
        <f>+VLOOKUP($AJ81,Data_Validation!$A:$E,5,0)</f>
        <v>#N/A</v>
      </c>
    </row>
    <row r="82" spans="36:52" ht="15" customHeight="1">
      <c r="AJ82" s="899">
        <f t="shared" si="4"/>
        <v>0</v>
      </c>
      <c r="AK82" s="899">
        <f t="shared" si="4"/>
        <v>0</v>
      </c>
      <c r="AL82" s="905">
        <f>IFERROR(INDEX(G82:R82,1,MATCH(Parametres!$B$3,G$1:R$1,0)-1)*IF(OR(F82="L",F82="S",F82="I"),-1,1),"")</f>
        <v>0</v>
      </c>
      <c r="AM82" s="905">
        <f t="shared" si="5"/>
        <v>0</v>
      </c>
      <c r="AN82" s="905">
        <f>INDEX(G82:R82,1,MATCH(Parametres!$B$3,G$1:R$1,0))*IF(OR(F82="L",F82="S",F82="I"),-1,1)</f>
        <v>0</v>
      </c>
      <c r="AO82" s="487" t="e">
        <f>+VLOOKUP($AJ82,Data_Validation!$A:$D,1,0)</f>
        <v>#N/A</v>
      </c>
      <c r="AP82" s="487" t="e">
        <f>+VLOOKUP($AJ82,Data_Validation!$A:$D,3,0)</f>
        <v>#N/A</v>
      </c>
      <c r="AQ82" s="487" t="e">
        <f>+VLOOKUP($AJ82,Data_Validation!$A:$D,4,0)</f>
        <v>#N/A</v>
      </c>
      <c r="AR82" s="487" t="s">
        <v>299</v>
      </c>
      <c r="AS82" s="487" t="e">
        <f>+VLOOKUP($AJ82,Data_Validation!$A:$E,5,0)</f>
        <v>#N/A</v>
      </c>
      <c r="AT82" s="904">
        <f t="shared" si="6"/>
        <v>0</v>
      </c>
      <c r="AU82" s="488">
        <f t="shared" si="6"/>
        <v>0</v>
      </c>
      <c r="AV82" s="899">
        <f>IFERROR(INDEX(V82:AG82,1,MATCH(Parametres!$B$3,V$1:AG$1,0)-1)*IF(OR(C82="L",C82="S",C82="I"),-1,1),"")</f>
        <v>0</v>
      </c>
      <c r="AW82" s="899">
        <f t="shared" si="7"/>
        <v>0</v>
      </c>
      <c r="AX82" s="899">
        <f>INDEX(V82:AG82,1,MATCH(Parametres!$B$3,V$1:AG$1,0))*IF(OR(C82="L",C82="S",C82="I"),-1,1)</f>
        <v>0</v>
      </c>
      <c r="AY82" s="487" t="s">
        <v>337</v>
      </c>
      <c r="AZ82" s="487" t="e">
        <f>+VLOOKUP($AJ82,Data_Validation!$A:$E,5,0)</f>
        <v>#N/A</v>
      </c>
    </row>
    <row r="83" spans="36:52" ht="15" customHeight="1">
      <c r="AJ83" s="899">
        <f t="shared" si="4"/>
        <v>0</v>
      </c>
      <c r="AK83" s="899">
        <f t="shared" si="4"/>
        <v>0</v>
      </c>
      <c r="AL83" s="905">
        <f>IFERROR(INDEX(G83:R83,1,MATCH(Parametres!$B$3,G$1:R$1,0)-1)*IF(OR(F83="L",F83="S",F83="I"),-1,1),"")</f>
        <v>0</v>
      </c>
      <c r="AM83" s="905">
        <f t="shared" si="5"/>
        <v>0</v>
      </c>
      <c r="AN83" s="905">
        <f>INDEX(G83:R83,1,MATCH(Parametres!$B$3,G$1:R$1,0))*IF(OR(F83="L",F83="S",F83="I"),-1,1)</f>
        <v>0</v>
      </c>
      <c r="AO83" s="487" t="e">
        <f>+VLOOKUP($AJ83,Data_Validation!$A:$D,1,0)</f>
        <v>#N/A</v>
      </c>
      <c r="AP83" s="487" t="e">
        <f>+VLOOKUP($AJ83,Data_Validation!$A:$D,3,0)</f>
        <v>#N/A</v>
      </c>
      <c r="AQ83" s="487" t="e">
        <f>+VLOOKUP($AJ83,Data_Validation!$A:$D,4,0)</f>
        <v>#N/A</v>
      </c>
      <c r="AR83" s="487" t="s">
        <v>299</v>
      </c>
      <c r="AS83" s="487" t="e">
        <f>+VLOOKUP($AJ83,Data_Validation!$A:$E,5,0)</f>
        <v>#N/A</v>
      </c>
      <c r="AT83" s="904">
        <f t="shared" si="6"/>
        <v>0</v>
      </c>
      <c r="AU83" s="488">
        <f t="shared" si="6"/>
        <v>0</v>
      </c>
      <c r="AV83" s="899">
        <f>IFERROR(INDEX(V83:AG83,1,MATCH(Parametres!$B$3,V$1:AG$1,0)-1)*IF(OR(C83="L",C83="S",C83="I"),-1,1),"")</f>
        <v>0</v>
      </c>
      <c r="AW83" s="899">
        <f t="shared" si="7"/>
        <v>0</v>
      </c>
      <c r="AX83" s="899">
        <f>INDEX(V83:AG83,1,MATCH(Parametres!$B$3,V$1:AG$1,0))*IF(OR(C83="L",C83="S",C83="I"),-1,1)</f>
        <v>0</v>
      </c>
      <c r="AY83" s="487" t="s">
        <v>337</v>
      </c>
      <c r="AZ83" s="487" t="e">
        <f>+VLOOKUP($AJ83,Data_Validation!$A:$E,5,0)</f>
        <v>#N/A</v>
      </c>
    </row>
    <row r="84" spans="36:52" ht="15.75" customHeight="1">
      <c r="AJ84" s="899">
        <f t="shared" si="4"/>
        <v>0</v>
      </c>
      <c r="AK84" s="899">
        <f t="shared" si="4"/>
        <v>0</v>
      </c>
      <c r="AL84" s="905">
        <f>IFERROR(INDEX(G84:R84,1,MATCH(Parametres!$B$3,G$1:R$1,0)-1)*IF(OR(F84="L",F84="S",F84="I"),-1,1),"")</f>
        <v>0</v>
      </c>
      <c r="AM84" s="905">
        <f t="shared" si="5"/>
        <v>0</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f t="shared" si="6"/>
        <v>0</v>
      </c>
      <c r="AU84" s="488">
        <f t="shared" si="6"/>
        <v>0</v>
      </c>
      <c r="AV84" s="899">
        <f>IFERROR(INDEX(V84:AG84,1,MATCH(Parametres!$B$3,V$1:AG$1,0)-1)*IF(OR(C84="L",C84="S",C84="I"),-1,1),"")</f>
        <v>0</v>
      </c>
      <c r="AW84" s="899">
        <f t="shared" si="7"/>
        <v>0</v>
      </c>
      <c r="AX84" s="899">
        <f>INDEX(V84:AG84,1,MATCH(Parametres!$B$3,V$1:AG$1,0))*IF(OR(C84="L",C84="S",C84="I"),-1,1)</f>
        <v>0</v>
      </c>
      <c r="AY84" s="487" t="s">
        <v>337</v>
      </c>
      <c r="AZ84" s="487" t="e">
        <f>+VLOOKUP($AJ84,Data_Validation!$A:$E,5,0)</f>
        <v>#N/A</v>
      </c>
    </row>
    <row r="85" spans="36:52" ht="15" customHeight="1">
      <c r="AJ85" s="899">
        <f t="shared" si="4"/>
        <v>0</v>
      </c>
      <c r="AK85" s="899">
        <f t="shared" si="4"/>
        <v>0</v>
      </c>
      <c r="AL85" s="905">
        <f>IFERROR(INDEX(G85:R85,1,MATCH(Parametres!$B$3,G$1:R$1,0)-1)*IF(OR(F85="L",F85="S",F85="I"),-1,1),"")</f>
        <v>0</v>
      </c>
      <c r="AM85" s="905">
        <f t="shared" si="5"/>
        <v>0</v>
      </c>
      <c r="AN85" s="905">
        <f>INDEX(G85:R85,1,MATCH(Parametres!$B$3,G$1:R$1,0))*IF(OR(F85="L",F85="S",F85="I"),-1,1)</f>
        <v>0</v>
      </c>
      <c r="AO85" s="487" t="e">
        <f>+VLOOKUP($AJ85,Data_Validation!$A:$D,1,0)</f>
        <v>#N/A</v>
      </c>
      <c r="AP85" s="487" t="e">
        <f>+VLOOKUP($AJ85,Data_Validation!$A:$D,3,0)</f>
        <v>#N/A</v>
      </c>
      <c r="AQ85" s="487" t="e">
        <f>+VLOOKUP($AJ85,Data_Validation!$A:$D,4,0)</f>
        <v>#N/A</v>
      </c>
      <c r="AR85" s="487" t="s">
        <v>299</v>
      </c>
      <c r="AS85" s="487" t="e">
        <f>+VLOOKUP($AJ85,Data_Validation!$A:$E,5,0)</f>
        <v>#N/A</v>
      </c>
      <c r="AT85" s="904">
        <f t="shared" si="6"/>
        <v>0</v>
      </c>
      <c r="AU85" s="488">
        <f t="shared" si="6"/>
        <v>0</v>
      </c>
      <c r="AV85" s="899">
        <f>IFERROR(INDEX(V85:AG85,1,MATCH(Parametres!$B$3,V$1:AG$1,0)-1)*IF(OR(C85="L",C85="S",C85="I"),-1,1),"")</f>
        <v>0</v>
      </c>
      <c r="AW85" s="899">
        <f t="shared" si="7"/>
        <v>0</v>
      </c>
      <c r="AX85" s="899">
        <f>INDEX(V85:AG85,1,MATCH(Parametres!$B$3,V$1:AG$1,0))*IF(OR(C85="L",C85="S",C85="I"),-1,1)</f>
        <v>0</v>
      </c>
      <c r="AY85" s="487" t="s">
        <v>337</v>
      </c>
      <c r="AZ85" s="487" t="e">
        <f>+VLOOKUP($AJ85,Data_Validation!$A:$E,5,0)</f>
        <v>#N/A</v>
      </c>
    </row>
    <row r="86" spans="36:52" ht="15" customHeight="1">
      <c r="AJ86" s="899">
        <f t="shared" si="4"/>
        <v>0</v>
      </c>
      <c r="AK86" s="899">
        <f t="shared" si="4"/>
        <v>0</v>
      </c>
      <c r="AL86" s="905">
        <f>IFERROR(INDEX(G86:R86,1,MATCH(Parametres!$B$3,G$1:R$1,0)-1)*IF(OR(F86="L",F86="S",F86="I"),-1,1),"")</f>
        <v>0</v>
      </c>
      <c r="AM86" s="905">
        <f t="shared" si="5"/>
        <v>0</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f t="shared" si="6"/>
        <v>0</v>
      </c>
      <c r="AU86" s="488">
        <f t="shared" si="6"/>
        <v>0</v>
      </c>
      <c r="AV86" s="899">
        <f>IFERROR(INDEX(V86:AG86,1,MATCH(Parametres!$B$3,V$1:AG$1,0)-1)*IF(OR(C86="L",C86="S",C86="I"),-1,1),"")</f>
        <v>0</v>
      </c>
      <c r="AW86" s="899">
        <f t="shared" si="7"/>
        <v>0</v>
      </c>
      <c r="AX86" s="899">
        <f>INDEX(V86:AG86,1,MATCH(Parametres!$B$3,V$1:AG$1,0))*IF(OR(C86="L",C86="S",C86="I"),-1,1)</f>
        <v>0</v>
      </c>
      <c r="AY86" s="487" t="s">
        <v>337</v>
      </c>
      <c r="AZ86" s="487" t="e">
        <f>+VLOOKUP($AJ86,Data_Validation!$A:$E,5,0)</f>
        <v>#N/A</v>
      </c>
    </row>
    <row r="87" spans="36:52" ht="15" customHeight="1">
      <c r="AJ87" s="899">
        <f t="shared" si="4"/>
        <v>0</v>
      </c>
      <c r="AK87" s="899">
        <f t="shared" si="4"/>
        <v>0</v>
      </c>
      <c r="AL87" s="905">
        <f>IFERROR(INDEX(G87:R87,1,MATCH(Parametres!$B$3,G$1:R$1,0)-1)*IF(OR(F87="L",F87="S",F87="I"),-1,1),"")</f>
        <v>0</v>
      </c>
      <c r="AM87" s="905">
        <f t="shared" si="5"/>
        <v>0</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f t="shared" si="6"/>
        <v>0</v>
      </c>
      <c r="AU87" s="488">
        <f t="shared" si="6"/>
        <v>0</v>
      </c>
      <c r="AV87" s="899">
        <f>IFERROR(INDEX(V87:AG87,1,MATCH(Parametres!$B$3,V$1:AG$1,0)-1)*IF(OR(C87="L",C87="S",C87="I"),-1,1),"")</f>
        <v>0</v>
      </c>
      <c r="AW87" s="899">
        <f t="shared" si="7"/>
        <v>0</v>
      </c>
      <c r="AX87" s="899">
        <f>INDEX(V87:AG87,1,MATCH(Parametres!$B$3,V$1:AG$1,0))*IF(OR(C87="L",C87="S",C87="I"),-1,1)</f>
        <v>0</v>
      </c>
      <c r="AY87" s="487" t="s">
        <v>337</v>
      </c>
      <c r="AZ87" s="487" t="e">
        <f>+VLOOKUP($AJ87,Data_Validation!$A:$E,5,0)</f>
        <v>#N/A</v>
      </c>
    </row>
    <row r="88" spans="36:52" ht="15" customHeight="1">
      <c r="AJ88" s="899">
        <f t="shared" si="4"/>
        <v>0</v>
      </c>
      <c r="AK88" s="899">
        <f t="shared" si="4"/>
        <v>0</v>
      </c>
      <c r="AL88" s="905">
        <f>IFERROR(INDEX(G88:R88,1,MATCH(Parametres!$B$3,G$1:R$1,0)-1)*IF(OR(F88="L",F88="S",F88="I"),-1,1),"")</f>
        <v>0</v>
      </c>
      <c r="AM88" s="905">
        <f t="shared" si="5"/>
        <v>0</v>
      </c>
      <c r="AN88" s="905">
        <f>INDEX(G88:R88,1,MATCH(Parametres!$B$3,G$1:R$1,0))*IF(OR(F88="L",F88="S",F88="I"),-1,1)</f>
        <v>0</v>
      </c>
      <c r="AO88" s="487" t="e">
        <f>+VLOOKUP($AJ88,Data_Validation!$A:$D,1,0)</f>
        <v>#N/A</v>
      </c>
      <c r="AP88" s="487" t="e">
        <f>+VLOOKUP($AJ88,Data_Validation!$A:$D,3,0)</f>
        <v>#N/A</v>
      </c>
      <c r="AQ88" s="487" t="e">
        <f>+VLOOKUP($AJ88,Data_Validation!$A:$D,4,0)</f>
        <v>#N/A</v>
      </c>
      <c r="AR88" s="487" t="s">
        <v>299</v>
      </c>
      <c r="AS88" s="487" t="e">
        <f>+VLOOKUP($AJ88,Data_Validation!$A:$E,5,0)</f>
        <v>#N/A</v>
      </c>
      <c r="AT88" s="904">
        <f t="shared" si="6"/>
        <v>0</v>
      </c>
      <c r="AU88" s="488">
        <f t="shared" si="6"/>
        <v>0</v>
      </c>
      <c r="AV88" s="899">
        <f>IFERROR(INDEX(V88:AG88,1,MATCH(Parametres!$B$3,V$1:AG$1,0)-1)*IF(OR(C88="L",C88="S",C88="I"),-1,1),"")</f>
        <v>0</v>
      </c>
      <c r="AW88" s="899">
        <f t="shared" si="7"/>
        <v>0</v>
      </c>
      <c r="AX88" s="899">
        <f>INDEX(V88:AG88,1,MATCH(Parametres!$B$3,V$1:AG$1,0))*IF(OR(C88="L",C88="S",C88="I"),-1,1)</f>
        <v>0</v>
      </c>
      <c r="AY88" s="487" t="s">
        <v>337</v>
      </c>
      <c r="AZ88" s="487" t="e">
        <f>+VLOOKUP($AJ88,Data_Validation!$A:$E,5,0)</f>
        <v>#N/A</v>
      </c>
    </row>
    <row r="89" spans="36:52" ht="15" customHeight="1">
      <c r="AJ89" s="899">
        <f t="shared" si="4"/>
        <v>0</v>
      </c>
      <c r="AK89" s="899">
        <f t="shared" si="4"/>
        <v>0</v>
      </c>
      <c r="AL89" s="905">
        <f>IFERROR(INDEX(G89:R89,1,MATCH(Parametres!$B$3,G$1:R$1,0)-1)*IF(OR(F89="L",F89="S",F89="I"),-1,1),"")</f>
        <v>0</v>
      </c>
      <c r="AM89" s="905">
        <f t="shared" si="5"/>
        <v>0</v>
      </c>
      <c r="AN89" s="905">
        <f>INDEX(G89:R89,1,MATCH(Parametres!$B$3,G$1:R$1,0))*IF(OR(F89="L",F89="S",F89="I"),-1,1)</f>
        <v>0</v>
      </c>
      <c r="AO89" s="487" t="e">
        <f>+VLOOKUP($AJ89,Data_Validation!$A:$D,1,0)</f>
        <v>#N/A</v>
      </c>
      <c r="AP89" s="487" t="e">
        <f>+VLOOKUP($AJ89,Data_Validation!$A:$D,3,0)</f>
        <v>#N/A</v>
      </c>
      <c r="AQ89" s="487" t="e">
        <f>+VLOOKUP($AJ89,Data_Validation!$A:$D,4,0)</f>
        <v>#N/A</v>
      </c>
      <c r="AR89" s="487" t="s">
        <v>299</v>
      </c>
      <c r="AS89" s="487" t="e">
        <f>+VLOOKUP($AJ89,Data_Validation!$A:$E,5,0)</f>
        <v>#N/A</v>
      </c>
      <c r="AT89" s="904">
        <f t="shared" si="6"/>
        <v>0</v>
      </c>
      <c r="AU89" s="488">
        <f t="shared" si="6"/>
        <v>0</v>
      </c>
      <c r="AV89" s="899">
        <f>IFERROR(INDEX(V89:AG89,1,MATCH(Parametres!$B$3,V$1:AG$1,0)-1)*IF(OR(C89="L",C89="S",C89="I"),-1,1),"")</f>
        <v>0</v>
      </c>
      <c r="AW89" s="899">
        <f t="shared" si="7"/>
        <v>0</v>
      </c>
      <c r="AX89" s="899">
        <f>INDEX(V89:AG89,1,MATCH(Parametres!$B$3,V$1:AG$1,0))*IF(OR(C89="L",C89="S",C89="I"),-1,1)</f>
        <v>0</v>
      </c>
      <c r="AY89" s="487" t="s">
        <v>337</v>
      </c>
      <c r="AZ89" s="487" t="e">
        <f>+VLOOKUP($AJ89,Data_Validation!$A:$E,5,0)</f>
        <v>#N/A</v>
      </c>
    </row>
    <row r="90" spans="36:52" ht="15" customHeight="1">
      <c r="AJ90" s="899">
        <f t="shared" si="4"/>
        <v>0</v>
      </c>
      <c r="AK90" s="899">
        <f t="shared" si="4"/>
        <v>0</v>
      </c>
      <c r="AL90" s="905">
        <f>IFERROR(INDEX(G90:R90,1,MATCH(Parametres!$B$3,G$1:R$1,0)-1)*IF(OR(F90="L",F90="S",F90="I"),-1,1),"")</f>
        <v>0</v>
      </c>
      <c r="AM90" s="905">
        <f t="shared" si="5"/>
        <v>0</v>
      </c>
      <c r="AN90" s="905">
        <f>INDEX(G90:R90,1,MATCH(Parametres!$B$3,G$1:R$1,0))*IF(OR(F90="L",F90="S",F90="I"),-1,1)</f>
        <v>0</v>
      </c>
      <c r="AO90" s="487" t="e">
        <f>+VLOOKUP($AJ90,Data_Validation!$A:$D,1,0)</f>
        <v>#N/A</v>
      </c>
      <c r="AP90" s="487" t="e">
        <f>+VLOOKUP($AJ90,Data_Validation!$A:$D,3,0)</f>
        <v>#N/A</v>
      </c>
      <c r="AQ90" s="487" t="e">
        <f>+VLOOKUP($AJ90,Data_Validation!$A:$D,4,0)</f>
        <v>#N/A</v>
      </c>
      <c r="AR90" s="487" t="s">
        <v>299</v>
      </c>
      <c r="AS90" s="487" t="e">
        <f>+VLOOKUP($AJ90,Data_Validation!$A:$E,5,0)</f>
        <v>#N/A</v>
      </c>
      <c r="AT90" s="904">
        <f t="shared" si="6"/>
        <v>0</v>
      </c>
      <c r="AU90" s="488">
        <f t="shared" si="6"/>
        <v>0</v>
      </c>
      <c r="AV90" s="899">
        <f>IFERROR(INDEX(V90:AG90,1,MATCH(Parametres!$B$3,V$1:AG$1,0)-1)*IF(OR(C90="L",C90="S",C90="I"),-1,1),"")</f>
        <v>0</v>
      </c>
      <c r="AW90" s="899">
        <f t="shared" si="7"/>
        <v>0</v>
      </c>
      <c r="AX90" s="899">
        <f>INDEX(V90:AG90,1,MATCH(Parametres!$B$3,V$1:AG$1,0))*IF(OR(C90="L",C90="S",C90="I"),-1,1)</f>
        <v>0</v>
      </c>
      <c r="AY90" s="487" t="s">
        <v>337</v>
      </c>
      <c r="AZ90" s="487" t="e">
        <f>+VLOOKUP($AJ90,Data_Validation!$A:$E,5,0)</f>
        <v>#N/A</v>
      </c>
    </row>
    <row r="91" spans="36:52" ht="15" customHeight="1">
      <c r="AJ91" s="899">
        <f t="shared" si="4"/>
        <v>0</v>
      </c>
      <c r="AK91" s="899">
        <f t="shared" si="4"/>
        <v>0</v>
      </c>
      <c r="AL91" s="905">
        <f>IFERROR(INDEX(G91:R91,1,MATCH(Parametres!$B$3,G$1:R$1,0)-1)*IF(OR(F91="L",F91="S",F91="I"),-1,1),"")</f>
        <v>0</v>
      </c>
      <c r="AM91" s="905">
        <f t="shared" si="5"/>
        <v>0</v>
      </c>
      <c r="AN91" s="905">
        <f>INDEX(G91:R91,1,MATCH(Parametres!$B$3,G$1:R$1,0))*IF(OR(F91="L",F91="S",F91="I"),-1,1)</f>
        <v>0</v>
      </c>
      <c r="AO91" s="487" t="e">
        <f>+VLOOKUP($AJ91,Data_Validation!$A:$D,1,0)</f>
        <v>#N/A</v>
      </c>
      <c r="AP91" s="487" t="e">
        <f>+VLOOKUP($AJ91,Data_Validation!$A:$D,3,0)</f>
        <v>#N/A</v>
      </c>
      <c r="AQ91" s="487" t="e">
        <f>+VLOOKUP($AJ91,Data_Validation!$A:$D,4,0)</f>
        <v>#N/A</v>
      </c>
      <c r="AR91" s="487" t="s">
        <v>299</v>
      </c>
      <c r="AS91" s="487" t="e">
        <f>+VLOOKUP($AJ91,Data_Validation!$A:$E,5,0)</f>
        <v>#N/A</v>
      </c>
      <c r="AT91" s="904">
        <f t="shared" si="6"/>
        <v>0</v>
      </c>
      <c r="AU91" s="488">
        <f t="shared" si="6"/>
        <v>0</v>
      </c>
      <c r="AV91" s="899">
        <f>IFERROR(INDEX(V91:AG91,1,MATCH(Parametres!$B$3,V$1:AG$1,0)-1)*IF(OR(C91="L",C91="S",C91="I"),-1,1),"")</f>
        <v>0</v>
      </c>
      <c r="AW91" s="899">
        <f t="shared" si="7"/>
        <v>0</v>
      </c>
      <c r="AX91" s="899">
        <f>INDEX(V91:AG91,1,MATCH(Parametres!$B$3,V$1:AG$1,0))*IF(OR(C91="L",C91="S",C91="I"),-1,1)</f>
        <v>0</v>
      </c>
      <c r="AY91" s="487" t="s">
        <v>337</v>
      </c>
      <c r="AZ91" s="487" t="e">
        <f>+VLOOKUP($AJ91,Data_Validation!$A:$E,5,0)</f>
        <v>#N/A</v>
      </c>
    </row>
    <row r="92" spans="36:52" ht="15" customHeight="1">
      <c r="AJ92" s="899">
        <f t="shared" si="4"/>
        <v>0</v>
      </c>
      <c r="AK92" s="899">
        <f t="shared" si="4"/>
        <v>0</v>
      </c>
      <c r="AL92" s="905">
        <f>IFERROR(INDEX(G92:R92,1,MATCH(Parametres!$B$3,G$1:R$1,0)-1)*IF(OR(F92="L",F92="S",F92="I"),-1,1),"")</f>
        <v>0</v>
      </c>
      <c r="AM92" s="905">
        <f t="shared" si="5"/>
        <v>0</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f t="shared" si="6"/>
        <v>0</v>
      </c>
      <c r="AU92" s="488">
        <f t="shared" si="6"/>
        <v>0</v>
      </c>
      <c r="AV92" s="899">
        <f>IFERROR(INDEX(V92:AG92,1,MATCH(Parametres!$B$3,V$1:AG$1,0)-1)*IF(OR(C92="L",C92="S",C92="I"),-1,1),"")</f>
        <v>0</v>
      </c>
      <c r="AW92" s="899">
        <f t="shared" si="7"/>
        <v>0</v>
      </c>
      <c r="AX92" s="899">
        <f>INDEX(V92:AG92,1,MATCH(Parametres!$B$3,V$1:AG$1,0))*IF(OR(C92="L",C92="S",C92="I"),-1,1)</f>
        <v>0</v>
      </c>
      <c r="AY92" s="487" t="s">
        <v>337</v>
      </c>
      <c r="AZ92" s="487" t="e">
        <f>+VLOOKUP($AJ92,Data_Validation!$A:$E,5,0)</f>
        <v>#N/A</v>
      </c>
    </row>
    <row r="93" spans="36:52" ht="15" customHeight="1">
      <c r="AJ93" s="899">
        <f t="shared" si="4"/>
        <v>0</v>
      </c>
      <c r="AK93" s="899">
        <f t="shared" si="4"/>
        <v>0</v>
      </c>
      <c r="AL93" s="905">
        <f>IFERROR(INDEX(G93:R93,1,MATCH(Parametres!$B$3,G$1:R$1,0)-1)*IF(OR(F93="L",F93="S",F93="I"),-1,1),"")</f>
        <v>0</v>
      </c>
      <c r="AM93" s="905">
        <f t="shared" si="5"/>
        <v>0</v>
      </c>
      <c r="AN93" s="905">
        <f>INDEX(G93:R93,1,MATCH(Parametres!$B$3,G$1:R$1,0))*IF(OR(F93="L",F93="S",F93="I"),-1,1)</f>
        <v>0</v>
      </c>
      <c r="AO93" s="487" t="e">
        <f>+VLOOKUP($AJ93,Data_Validation!$A:$D,1,0)</f>
        <v>#N/A</v>
      </c>
      <c r="AP93" s="487" t="e">
        <f>+VLOOKUP($AJ93,Data_Validation!$A:$D,3,0)</f>
        <v>#N/A</v>
      </c>
      <c r="AQ93" s="487" t="e">
        <f>+VLOOKUP($AJ93,Data_Validation!$A:$D,4,0)</f>
        <v>#N/A</v>
      </c>
      <c r="AR93" s="487" t="s">
        <v>299</v>
      </c>
      <c r="AS93" s="487" t="e">
        <f>+VLOOKUP($AJ93,Data_Validation!$A:$E,5,0)</f>
        <v>#N/A</v>
      </c>
      <c r="AT93" s="904">
        <f t="shared" si="6"/>
        <v>0</v>
      </c>
      <c r="AU93" s="488">
        <f t="shared" si="6"/>
        <v>0</v>
      </c>
      <c r="AV93" s="899">
        <f>IFERROR(INDEX(V93:AG93,1,MATCH(Parametres!$B$3,V$1:AG$1,0)-1)*IF(OR(C93="L",C93="S",C93="I"),-1,1),"")</f>
        <v>0</v>
      </c>
      <c r="AW93" s="899">
        <f t="shared" si="7"/>
        <v>0</v>
      </c>
      <c r="AX93" s="899">
        <f>INDEX(V93:AG93,1,MATCH(Parametres!$B$3,V$1:AG$1,0))*IF(OR(C93="L",C93="S",C93="I"),-1,1)</f>
        <v>0</v>
      </c>
      <c r="AY93" s="487" t="s">
        <v>337</v>
      </c>
      <c r="AZ93" s="487" t="e">
        <f>+VLOOKUP($AJ93,Data_Validation!$A:$E,5,0)</f>
        <v>#N/A</v>
      </c>
    </row>
    <row r="94" spans="36:52" ht="15.75" customHeight="1">
      <c r="AJ94" s="899">
        <f t="shared" si="4"/>
        <v>0</v>
      </c>
      <c r="AK94" s="899">
        <f t="shared" si="4"/>
        <v>0</v>
      </c>
      <c r="AL94" s="905">
        <f>IFERROR(INDEX(G94:R94,1,MATCH(Parametres!$B$3,G$1:R$1,0)-1)*IF(OR(F94="L",F94="S",F94="I"),-1,1),"")</f>
        <v>0</v>
      </c>
      <c r="AM94" s="905">
        <f t="shared" si="5"/>
        <v>0</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f t="shared" si="6"/>
        <v>0</v>
      </c>
      <c r="AU94" s="488">
        <f t="shared" si="6"/>
        <v>0</v>
      </c>
      <c r="AV94" s="899">
        <f>IFERROR(INDEX(V94:AG94,1,MATCH(Parametres!$B$3,V$1:AG$1,0)-1)*IF(OR(C94="L",C94="S",C94="I"),-1,1),"")</f>
        <v>0</v>
      </c>
      <c r="AW94" s="899">
        <f t="shared" si="7"/>
        <v>0</v>
      </c>
      <c r="AX94" s="899">
        <f>INDEX(V94:AG94,1,MATCH(Parametres!$B$3,V$1:AG$1,0))*IF(OR(C94="L",C94="S",C94="I"),-1,1)</f>
        <v>0</v>
      </c>
      <c r="AY94" s="487" t="s">
        <v>337</v>
      </c>
      <c r="AZ94" s="487" t="e">
        <f>+VLOOKUP($AJ94,Data_Validation!$A:$E,5,0)</f>
        <v>#N/A</v>
      </c>
    </row>
    <row r="95" spans="36:52" ht="15" customHeight="1">
      <c r="AJ95" s="899">
        <f t="shared" si="4"/>
        <v>0</v>
      </c>
      <c r="AK95" s="899">
        <f t="shared" si="4"/>
        <v>0</v>
      </c>
      <c r="AL95" s="905">
        <f>IFERROR(INDEX(G95:R95,1,MATCH(Parametres!$B$3,G$1:R$1,0)-1)*IF(OR(F95="L",F95="S",F95="I"),-1,1),"")</f>
        <v>0</v>
      </c>
      <c r="AM95" s="905">
        <f t="shared" si="5"/>
        <v>0</v>
      </c>
      <c r="AN95" s="905">
        <f>INDEX(G95:R95,1,MATCH(Parametres!$B$3,G$1:R$1,0))*IF(OR(F95="L",F95="S",F95="I"),-1,1)</f>
        <v>0</v>
      </c>
      <c r="AO95" s="487" t="e">
        <f>+VLOOKUP($AJ95,Data_Validation!$A:$D,1,0)</f>
        <v>#N/A</v>
      </c>
      <c r="AP95" s="487" t="e">
        <f>+VLOOKUP($AJ95,Data_Validation!$A:$D,3,0)</f>
        <v>#N/A</v>
      </c>
      <c r="AQ95" s="487" t="e">
        <f>+VLOOKUP($AJ95,Data_Validation!$A:$D,4,0)</f>
        <v>#N/A</v>
      </c>
      <c r="AR95" s="487" t="s">
        <v>299</v>
      </c>
      <c r="AS95" s="487" t="e">
        <f>+VLOOKUP($AJ95,Data_Validation!$A:$E,5,0)</f>
        <v>#N/A</v>
      </c>
      <c r="AT95" s="904">
        <f t="shared" si="6"/>
        <v>0</v>
      </c>
      <c r="AU95" s="488">
        <f t="shared" si="6"/>
        <v>0</v>
      </c>
      <c r="AV95" s="899">
        <f>IFERROR(INDEX(V95:AG95,1,MATCH(Parametres!$B$3,V$1:AG$1,0)-1)*IF(OR(C95="L",C95="S",C95="I"),-1,1),"")</f>
        <v>0</v>
      </c>
      <c r="AW95" s="899">
        <f t="shared" si="7"/>
        <v>0</v>
      </c>
      <c r="AX95" s="899">
        <f>INDEX(V95:AG95,1,MATCH(Parametres!$B$3,V$1:AG$1,0))*IF(OR(C95="L",C95="S",C95="I"),-1,1)</f>
        <v>0</v>
      </c>
      <c r="AY95" s="487" t="s">
        <v>337</v>
      </c>
      <c r="AZ95" s="487" t="e">
        <f>+VLOOKUP($AJ95,Data_Validation!$A:$E,5,0)</f>
        <v>#N/A</v>
      </c>
    </row>
    <row r="96" spans="36:52" ht="15" customHeight="1">
      <c r="AJ96" s="899">
        <f t="shared" si="4"/>
        <v>0</v>
      </c>
      <c r="AK96" s="899">
        <f t="shared" si="4"/>
        <v>0</v>
      </c>
      <c r="AL96" s="905">
        <f>IFERROR(INDEX(G96:R96,1,MATCH(Parametres!$B$3,G$1:R$1,0)-1)*IF(OR(F96="L",F96="S",F96="I"),-1,1),"")</f>
        <v>0</v>
      </c>
      <c r="AM96" s="905">
        <f t="shared" si="5"/>
        <v>0</v>
      </c>
      <c r="AN96" s="905">
        <f>INDEX(G96:R96,1,MATCH(Parametres!$B$3,G$1:R$1,0))*IF(OR(F96="L",F96="S",F96="I"),-1,1)</f>
        <v>0</v>
      </c>
      <c r="AO96" s="487" t="e">
        <f>+VLOOKUP($AJ96,Data_Validation!$A:$D,1,0)</f>
        <v>#N/A</v>
      </c>
      <c r="AP96" s="487" t="e">
        <f>+VLOOKUP($AJ96,Data_Validation!$A:$D,3,0)</f>
        <v>#N/A</v>
      </c>
      <c r="AQ96" s="487" t="e">
        <f>+VLOOKUP($AJ96,Data_Validation!$A:$D,4,0)</f>
        <v>#N/A</v>
      </c>
      <c r="AR96" s="487" t="s">
        <v>299</v>
      </c>
      <c r="AS96" s="487" t="e">
        <f>+VLOOKUP($AJ96,Data_Validation!$A:$E,5,0)</f>
        <v>#N/A</v>
      </c>
      <c r="AT96" s="904">
        <f t="shared" si="6"/>
        <v>0</v>
      </c>
      <c r="AU96" s="488">
        <f t="shared" si="6"/>
        <v>0</v>
      </c>
      <c r="AV96" s="899">
        <f>IFERROR(INDEX(V96:AG96,1,MATCH(Parametres!$B$3,V$1:AG$1,0)-1)*IF(OR(C96="L",C96="S",C96="I"),-1,1),"")</f>
        <v>0</v>
      </c>
      <c r="AW96" s="899">
        <f t="shared" si="7"/>
        <v>0</v>
      </c>
      <c r="AX96" s="899">
        <f>INDEX(V96:AG96,1,MATCH(Parametres!$B$3,V$1:AG$1,0))*IF(OR(C96="L",C96="S",C96="I"),-1,1)</f>
        <v>0</v>
      </c>
      <c r="AY96" s="487" t="s">
        <v>337</v>
      </c>
      <c r="AZ96" s="487" t="e">
        <f>+VLOOKUP($AJ96,Data_Validation!$A:$E,5,0)</f>
        <v>#N/A</v>
      </c>
    </row>
    <row r="97" spans="36:52" ht="15" customHeight="1">
      <c r="AJ97" s="899">
        <f t="shared" si="4"/>
        <v>0</v>
      </c>
      <c r="AK97" s="899">
        <f t="shared" si="4"/>
        <v>0</v>
      </c>
      <c r="AL97" s="905">
        <f>IFERROR(INDEX(G97:R97,1,MATCH(Parametres!$B$3,G$1:R$1,0)-1)*IF(OR(F97="L",F97="S",F97="I"),-1,1),"")</f>
        <v>0</v>
      </c>
      <c r="AM97" s="905">
        <f t="shared" si="5"/>
        <v>0</v>
      </c>
      <c r="AN97" s="905">
        <f>INDEX(G97:R97,1,MATCH(Parametres!$B$3,G$1:R$1,0))*IF(OR(F97="L",F97="S",F97="I"),-1,1)</f>
        <v>0</v>
      </c>
      <c r="AO97" s="487" t="e">
        <f>+VLOOKUP($AJ97,Data_Validation!$A:$D,1,0)</f>
        <v>#N/A</v>
      </c>
      <c r="AP97" s="487" t="e">
        <f>+VLOOKUP($AJ97,Data_Validation!$A:$D,3,0)</f>
        <v>#N/A</v>
      </c>
      <c r="AQ97" s="487" t="e">
        <f>+VLOOKUP($AJ97,Data_Validation!$A:$D,4,0)</f>
        <v>#N/A</v>
      </c>
      <c r="AR97" s="487" t="s">
        <v>299</v>
      </c>
      <c r="AS97" s="487" t="e">
        <f>+VLOOKUP($AJ97,Data_Validation!$A:$E,5,0)</f>
        <v>#N/A</v>
      </c>
      <c r="AT97" s="904">
        <f t="shared" si="6"/>
        <v>0</v>
      </c>
      <c r="AU97" s="488">
        <f t="shared" si="6"/>
        <v>0</v>
      </c>
      <c r="AV97" s="899">
        <f>IFERROR(INDEX(V97:AG97,1,MATCH(Parametres!$B$3,V$1:AG$1,0)-1)*IF(OR(C97="L",C97="S",C97="I"),-1,1),"")</f>
        <v>0</v>
      </c>
      <c r="AW97" s="899">
        <f t="shared" si="7"/>
        <v>0</v>
      </c>
      <c r="AX97" s="899">
        <f>INDEX(V97:AG97,1,MATCH(Parametres!$B$3,V$1:AG$1,0))*IF(OR(C97="L",C97="S",C97="I"),-1,1)</f>
        <v>0</v>
      </c>
      <c r="AY97" s="487" t="s">
        <v>337</v>
      </c>
      <c r="AZ97" s="487" t="e">
        <f>+VLOOKUP($AJ97,Data_Validation!$A:$E,5,0)</f>
        <v>#N/A</v>
      </c>
    </row>
    <row r="98" spans="36:52" ht="15" customHeight="1">
      <c r="AJ98" s="899">
        <f t="shared" si="4"/>
        <v>0</v>
      </c>
      <c r="AK98" s="899">
        <f t="shared" si="4"/>
        <v>0</v>
      </c>
      <c r="AL98" s="905">
        <f>IFERROR(INDEX(G98:R98,1,MATCH(Parametres!$B$3,G$1:R$1,0)-1)*IF(OR(F98="L",F98="S",F98="I"),-1,1),"")</f>
        <v>0</v>
      </c>
      <c r="AM98" s="905">
        <f t="shared" si="5"/>
        <v>0</v>
      </c>
      <c r="AN98" s="905">
        <f>INDEX(G98:R98,1,MATCH(Parametres!$B$3,G$1:R$1,0))*IF(OR(F98="L",F98="S",F98="I"),-1,1)</f>
        <v>0</v>
      </c>
      <c r="AO98" s="487" t="e">
        <f>+VLOOKUP($AJ98,Data_Validation!$A:$D,1,0)</f>
        <v>#N/A</v>
      </c>
      <c r="AP98" s="487" t="e">
        <f>+VLOOKUP($AJ98,Data_Validation!$A:$D,3,0)</f>
        <v>#N/A</v>
      </c>
      <c r="AQ98" s="487" t="e">
        <f>+VLOOKUP($AJ98,Data_Validation!$A:$D,4,0)</f>
        <v>#N/A</v>
      </c>
      <c r="AR98" s="487" t="s">
        <v>299</v>
      </c>
      <c r="AS98" s="487" t="e">
        <f>+VLOOKUP($AJ98,Data_Validation!$A:$E,5,0)</f>
        <v>#N/A</v>
      </c>
      <c r="AT98" s="904">
        <f t="shared" si="6"/>
        <v>0</v>
      </c>
      <c r="AU98" s="488">
        <f t="shared" si="6"/>
        <v>0</v>
      </c>
      <c r="AV98" s="899">
        <f>IFERROR(INDEX(V98:AG98,1,MATCH(Parametres!$B$3,V$1:AG$1,0)-1)*IF(OR(C98="L",C98="S",C98="I"),-1,1),"")</f>
        <v>0</v>
      </c>
      <c r="AW98" s="899">
        <f t="shared" si="7"/>
        <v>0</v>
      </c>
      <c r="AX98" s="899">
        <f>INDEX(V98:AG98,1,MATCH(Parametres!$B$3,V$1:AG$1,0))*IF(OR(C98="L",C98="S",C98="I"),-1,1)</f>
        <v>0</v>
      </c>
      <c r="AY98" s="487" t="s">
        <v>337</v>
      </c>
      <c r="AZ98" s="487" t="e">
        <f>+VLOOKUP($AJ98,Data_Validation!$A:$E,5,0)</f>
        <v>#N/A</v>
      </c>
    </row>
    <row r="99" spans="36:52" ht="15.75" customHeight="1">
      <c r="AJ99" s="899">
        <f t="shared" si="4"/>
        <v>0</v>
      </c>
      <c r="AK99" s="899">
        <f t="shared" si="4"/>
        <v>0</v>
      </c>
      <c r="AL99" s="905">
        <f>IFERROR(INDEX(G99:R99,1,MATCH(Parametres!$B$3,G$1:R$1,0)-1)*IF(OR(F99="L",F99="S",F99="I"),-1,1),"")</f>
        <v>0</v>
      </c>
      <c r="AM99" s="905">
        <f t="shared" si="5"/>
        <v>0</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f t="shared" si="6"/>
        <v>0</v>
      </c>
      <c r="AU99" s="488">
        <f t="shared" si="6"/>
        <v>0</v>
      </c>
      <c r="AV99" s="899">
        <f>IFERROR(INDEX(V99:AG99,1,MATCH(Parametres!$B$3,V$1:AG$1,0)-1)*IF(OR(C99="L",C99="S",C99="I"),-1,1),"")</f>
        <v>0</v>
      </c>
      <c r="AW99" s="899">
        <f t="shared" si="7"/>
        <v>0</v>
      </c>
      <c r="AX99" s="899">
        <f>INDEX(V99:AG99,1,MATCH(Parametres!$B$3,V$1:AG$1,0))*IF(OR(C99="L",C99="S",C99="I"),-1,1)</f>
        <v>0</v>
      </c>
      <c r="AY99" s="487" t="s">
        <v>337</v>
      </c>
      <c r="AZ99" s="487" t="e">
        <f>+VLOOKUP($AJ99,Data_Validation!$A:$E,5,0)</f>
        <v>#N/A</v>
      </c>
    </row>
    <row r="100" spans="36:52" ht="15" customHeight="1">
      <c r="AJ100" s="899">
        <f t="shared" si="4"/>
        <v>0</v>
      </c>
      <c r="AK100" s="899">
        <f t="shared" si="4"/>
        <v>0</v>
      </c>
      <c r="AL100" s="905">
        <f>IFERROR(INDEX(G100:R100,1,MATCH(Parametres!$B$3,G$1:R$1,0)-1)*IF(OR(F100="L",F100="S",F100="I"),-1,1),"")</f>
        <v>0</v>
      </c>
      <c r="AM100" s="905">
        <f t="shared" si="5"/>
        <v>0</v>
      </c>
      <c r="AN100" s="905">
        <f>INDEX(G100:R100,1,MATCH(Parametres!$B$3,G$1:R$1,0))*IF(OR(F100="L",F100="S",F100="I"),-1,1)</f>
        <v>0</v>
      </c>
      <c r="AO100" s="487" t="e">
        <f>+VLOOKUP($AJ100,Data_Validation!$A:$D,1,0)</f>
        <v>#N/A</v>
      </c>
      <c r="AP100" s="487" t="e">
        <f>+VLOOKUP($AJ100,Data_Validation!$A:$D,3,0)</f>
        <v>#N/A</v>
      </c>
      <c r="AQ100" s="487" t="e">
        <f>+VLOOKUP($AJ100,Data_Validation!$A:$D,4,0)</f>
        <v>#N/A</v>
      </c>
      <c r="AR100" s="487" t="s">
        <v>299</v>
      </c>
      <c r="AS100" s="487" t="e">
        <f>+VLOOKUP($AJ100,Data_Validation!$A:$E,5,0)</f>
        <v>#N/A</v>
      </c>
      <c r="AT100" s="904">
        <f t="shared" si="6"/>
        <v>0</v>
      </c>
      <c r="AU100" s="488">
        <f t="shared" si="6"/>
        <v>0</v>
      </c>
      <c r="AV100" s="899">
        <f>IFERROR(INDEX(V100:AG100,1,MATCH(Parametres!$B$3,V$1:AG$1,0)-1)*IF(OR(C100="L",C100="S",C100="I"),-1,1),"")</f>
        <v>0</v>
      </c>
      <c r="AW100" s="899">
        <f t="shared" si="7"/>
        <v>0</v>
      </c>
      <c r="AX100" s="899">
        <f>INDEX(V100:AG100,1,MATCH(Parametres!$B$3,V$1:AG$1,0))*IF(OR(C100="L",C100="S",C100="I"),-1,1)</f>
        <v>0</v>
      </c>
      <c r="AY100" s="487" t="s">
        <v>337</v>
      </c>
      <c r="AZ100" s="487" t="e">
        <f>+VLOOKUP($AJ100,Data_Validation!$A:$E,5,0)</f>
        <v>#N/A</v>
      </c>
    </row>
    <row r="101" spans="36:52" ht="15" customHeight="1">
      <c r="AJ101" s="899">
        <f t="shared" si="4"/>
        <v>0</v>
      </c>
      <c r="AK101" s="899">
        <f t="shared" si="4"/>
        <v>0</v>
      </c>
      <c r="AL101" s="905">
        <f>IFERROR(INDEX(G101:R101,1,MATCH(Parametres!$B$3,G$1:R$1,0)-1)*IF(OR(F101="L",F101="S",F101="I"),-1,1),"")</f>
        <v>0</v>
      </c>
      <c r="AM101" s="905">
        <f t="shared" si="5"/>
        <v>0</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f t="shared" si="6"/>
        <v>0</v>
      </c>
      <c r="AU101" s="488">
        <f t="shared" si="6"/>
        <v>0</v>
      </c>
      <c r="AV101" s="899">
        <f>IFERROR(INDEX(V101:AG101,1,MATCH(Parametres!$B$3,V$1:AG$1,0)-1)*IF(OR(C101="L",C101="S",C101="I"),-1,1),"")</f>
        <v>0</v>
      </c>
      <c r="AW101" s="899">
        <f t="shared" si="7"/>
        <v>0</v>
      </c>
      <c r="AX101" s="899">
        <f>INDEX(V101:AG101,1,MATCH(Parametres!$B$3,V$1:AG$1,0))*IF(OR(C101="L",C101="S",C101="I"),-1,1)</f>
        <v>0</v>
      </c>
      <c r="AY101" s="487" t="s">
        <v>337</v>
      </c>
      <c r="AZ101" s="487" t="e">
        <f>+VLOOKUP($AJ101,Data_Validation!$A:$E,5,0)</f>
        <v>#N/A</v>
      </c>
    </row>
    <row r="102" spans="36:52" ht="15" customHeight="1">
      <c r="AJ102" s="899">
        <f t="shared" si="4"/>
        <v>0</v>
      </c>
      <c r="AK102" s="899">
        <f t="shared" si="4"/>
        <v>0</v>
      </c>
      <c r="AL102" s="905">
        <f>IFERROR(INDEX(G102:R102,1,MATCH(Parametres!$B$3,G$1:R$1,0)-1)*IF(OR(F102="L",F102="S",F102="I"),-1,1),"")</f>
        <v>0</v>
      </c>
      <c r="AM102" s="905">
        <f t="shared" si="5"/>
        <v>0</v>
      </c>
      <c r="AN102" s="905">
        <f>INDEX(G102:R102,1,MATCH(Parametres!$B$3,G$1:R$1,0))*IF(OR(F102="L",F102="S",F102="I"),-1,1)</f>
        <v>0</v>
      </c>
      <c r="AO102" s="487" t="e">
        <f>+VLOOKUP($AJ102,Data_Validation!$A:$D,1,0)</f>
        <v>#N/A</v>
      </c>
      <c r="AP102" s="487" t="e">
        <f>+VLOOKUP($AJ102,Data_Validation!$A:$D,3,0)</f>
        <v>#N/A</v>
      </c>
      <c r="AQ102" s="487" t="e">
        <f>+VLOOKUP($AJ102,Data_Validation!$A:$D,4,0)</f>
        <v>#N/A</v>
      </c>
      <c r="AR102" s="487" t="s">
        <v>299</v>
      </c>
      <c r="AS102" s="487" t="e">
        <f>+VLOOKUP($AJ102,Data_Validation!$A:$E,5,0)</f>
        <v>#N/A</v>
      </c>
      <c r="AT102" s="904">
        <f t="shared" si="6"/>
        <v>0</v>
      </c>
      <c r="AU102" s="488">
        <f t="shared" si="6"/>
        <v>0</v>
      </c>
      <c r="AV102" s="899">
        <f>IFERROR(INDEX(V102:AG102,1,MATCH(Parametres!$B$3,V$1:AG$1,0)-1)*IF(OR(C102="L",C102="S",C102="I"),-1,1),"")</f>
        <v>0</v>
      </c>
      <c r="AW102" s="899">
        <f t="shared" si="7"/>
        <v>0</v>
      </c>
      <c r="AX102" s="899">
        <f>INDEX(V102:AG102,1,MATCH(Parametres!$B$3,V$1:AG$1,0))*IF(OR(C102="L",C102="S",C102="I"),-1,1)</f>
        <v>0</v>
      </c>
      <c r="AY102" s="487" t="s">
        <v>337</v>
      </c>
      <c r="AZ102" s="487" t="e">
        <f>+VLOOKUP($AJ102,Data_Validation!$A:$E,5,0)</f>
        <v>#N/A</v>
      </c>
    </row>
    <row r="103" spans="36:52" ht="15.75" customHeight="1">
      <c r="AJ103" s="899">
        <f t="shared" si="4"/>
        <v>0</v>
      </c>
      <c r="AK103" s="899">
        <f t="shared" si="4"/>
        <v>0</v>
      </c>
      <c r="AL103" s="905">
        <f>IFERROR(INDEX(G103:R103,1,MATCH(Parametres!$B$3,G$1:R$1,0)-1)*IF(OR(F103="L",F103="S",F103="I"),-1,1),"")</f>
        <v>0</v>
      </c>
      <c r="AM103" s="905">
        <f t="shared" si="5"/>
        <v>0</v>
      </c>
      <c r="AN103" s="905">
        <f>INDEX(G103:R103,1,MATCH(Parametres!$B$3,G$1:R$1,0))*IF(OR(F103="L",F103="S",F103="I"),-1,1)</f>
        <v>0</v>
      </c>
      <c r="AO103" s="487" t="e">
        <f>+VLOOKUP($AJ103,Data_Validation!$A:$D,1,0)</f>
        <v>#N/A</v>
      </c>
      <c r="AP103" s="487" t="e">
        <f>+VLOOKUP($AJ103,Data_Validation!$A:$D,3,0)</f>
        <v>#N/A</v>
      </c>
      <c r="AQ103" s="487" t="e">
        <f>+VLOOKUP($AJ103,Data_Validation!$A:$D,4,0)</f>
        <v>#N/A</v>
      </c>
      <c r="AR103" s="487" t="s">
        <v>299</v>
      </c>
      <c r="AS103" s="487" t="e">
        <f>+VLOOKUP($AJ103,Data_Validation!$A:$E,5,0)</f>
        <v>#N/A</v>
      </c>
      <c r="AT103" s="904">
        <f t="shared" si="6"/>
        <v>0</v>
      </c>
      <c r="AU103" s="488">
        <f t="shared" si="6"/>
        <v>0</v>
      </c>
      <c r="AV103" s="899">
        <f>IFERROR(INDEX(V103:AG103,1,MATCH(Parametres!$B$3,V$1:AG$1,0)-1)*IF(OR(C103="L",C103="S",C103="I"),-1,1),"")</f>
        <v>0</v>
      </c>
      <c r="AW103" s="899">
        <f t="shared" si="7"/>
        <v>0</v>
      </c>
      <c r="AX103" s="899">
        <f>INDEX(V103:AG103,1,MATCH(Parametres!$B$3,V$1:AG$1,0))*IF(OR(C103="L",C103="S",C103="I"),-1,1)</f>
        <v>0</v>
      </c>
      <c r="AY103" s="487" t="s">
        <v>337</v>
      </c>
      <c r="AZ103" s="487" t="e">
        <f>+VLOOKUP($AJ103,Data_Validation!$A:$E,5,0)</f>
        <v>#N/A</v>
      </c>
    </row>
    <row r="104" spans="36:52" ht="15" customHeight="1">
      <c r="AJ104" s="899">
        <f t="shared" si="4"/>
        <v>0</v>
      </c>
      <c r="AK104" s="899">
        <f t="shared" si="4"/>
        <v>0</v>
      </c>
      <c r="AL104" s="905">
        <f>IFERROR(INDEX(G104:R104,1,MATCH(Parametres!$B$3,G$1:R$1,0)-1)*IF(OR(F104="L",F104="S",F104="I"),-1,1),"")</f>
        <v>0</v>
      </c>
      <c r="AM104" s="905">
        <f t="shared" si="5"/>
        <v>0</v>
      </c>
      <c r="AN104" s="905">
        <f>INDEX(G104:R104,1,MATCH(Parametres!$B$3,G$1:R$1,0))*IF(OR(F104="L",F104="S",F104="I"),-1,1)</f>
        <v>0</v>
      </c>
      <c r="AO104" s="487" t="e">
        <f>+VLOOKUP($AJ104,Data_Validation!$A:$D,1,0)</f>
        <v>#N/A</v>
      </c>
      <c r="AP104" s="487" t="e">
        <f>+VLOOKUP($AJ104,Data_Validation!$A:$D,3,0)</f>
        <v>#N/A</v>
      </c>
      <c r="AQ104" s="487" t="e">
        <f>+VLOOKUP($AJ104,Data_Validation!$A:$D,4,0)</f>
        <v>#N/A</v>
      </c>
      <c r="AR104" s="487" t="s">
        <v>299</v>
      </c>
      <c r="AS104" s="487" t="e">
        <f>+VLOOKUP($AJ104,Data_Validation!$A:$E,5,0)</f>
        <v>#N/A</v>
      </c>
      <c r="AT104" s="904">
        <f t="shared" si="6"/>
        <v>0</v>
      </c>
      <c r="AU104" s="488">
        <f t="shared" si="6"/>
        <v>0</v>
      </c>
      <c r="AV104" s="899">
        <f>IFERROR(INDEX(V104:AG104,1,MATCH(Parametres!$B$3,V$1:AG$1,0)-1)*IF(OR(C104="L",C104="S",C104="I"),-1,1),"")</f>
        <v>0</v>
      </c>
      <c r="AW104" s="899">
        <f t="shared" si="7"/>
        <v>0</v>
      </c>
      <c r="AX104" s="899">
        <f>INDEX(V104:AG104,1,MATCH(Parametres!$B$3,V$1:AG$1,0))*IF(OR(C104="L",C104="S",C104="I"),-1,1)</f>
        <v>0</v>
      </c>
      <c r="AY104" s="487" t="s">
        <v>337</v>
      </c>
      <c r="AZ104" s="487" t="e">
        <f>+VLOOKUP($AJ104,Data_Validation!$A:$E,5,0)</f>
        <v>#N/A</v>
      </c>
    </row>
    <row r="105" spans="36:52" ht="15" customHeight="1">
      <c r="AJ105" s="899">
        <f t="shared" si="4"/>
        <v>0</v>
      </c>
      <c r="AK105" s="899">
        <f t="shared" si="4"/>
        <v>0</v>
      </c>
      <c r="AL105" s="905">
        <f>IFERROR(INDEX(G105:R105,1,MATCH(Parametres!$B$3,G$1:R$1,0)-1)*IF(OR(F105="L",F105="S",F105="I"),-1,1),"")</f>
        <v>0</v>
      </c>
      <c r="AM105" s="905">
        <f t="shared" si="5"/>
        <v>0</v>
      </c>
      <c r="AN105" s="905">
        <f>INDEX(G105:R105,1,MATCH(Parametres!$B$3,G$1:R$1,0))*IF(OR(F105="L",F105="S",F105="I"),-1,1)</f>
        <v>0</v>
      </c>
      <c r="AO105" s="487" t="e">
        <f>+VLOOKUP($AJ105,Data_Validation!$A:$D,1,0)</f>
        <v>#N/A</v>
      </c>
      <c r="AP105" s="487" t="e">
        <f>+VLOOKUP($AJ105,Data_Validation!$A:$D,3,0)</f>
        <v>#N/A</v>
      </c>
      <c r="AQ105" s="487" t="e">
        <f>+VLOOKUP($AJ105,Data_Validation!$A:$D,4,0)</f>
        <v>#N/A</v>
      </c>
      <c r="AR105" s="487" t="s">
        <v>299</v>
      </c>
      <c r="AS105" s="487" t="e">
        <f>+VLOOKUP($AJ105,Data_Validation!$A:$E,5,0)</f>
        <v>#N/A</v>
      </c>
      <c r="AT105" s="904">
        <f t="shared" si="6"/>
        <v>0</v>
      </c>
      <c r="AU105" s="488">
        <f t="shared" si="6"/>
        <v>0</v>
      </c>
      <c r="AV105" s="899">
        <f>IFERROR(INDEX(V105:AG105,1,MATCH(Parametres!$B$3,V$1:AG$1,0)-1)*IF(OR(C105="L",C105="S",C105="I"),-1,1),"")</f>
        <v>0</v>
      </c>
      <c r="AW105" s="899">
        <f t="shared" si="7"/>
        <v>0</v>
      </c>
      <c r="AX105" s="899">
        <f>INDEX(V105:AG105,1,MATCH(Parametres!$B$3,V$1:AG$1,0))*IF(OR(C105="L",C105="S",C105="I"),-1,1)</f>
        <v>0</v>
      </c>
      <c r="AY105" s="487" t="s">
        <v>337</v>
      </c>
      <c r="AZ105" s="487" t="e">
        <f>+VLOOKUP($AJ105,Data_Validation!$A:$E,5,0)</f>
        <v>#N/A</v>
      </c>
    </row>
    <row r="106" spans="36:52" ht="15" customHeight="1">
      <c r="AJ106" s="899">
        <f t="shared" si="4"/>
        <v>0</v>
      </c>
      <c r="AK106" s="899">
        <f t="shared" si="4"/>
        <v>0</v>
      </c>
      <c r="AL106" s="905">
        <f>IFERROR(INDEX(G106:R106,1,MATCH(Parametres!$B$3,G$1:R$1,0)-1)*IF(OR(F106="L",F106="S",F106="I"),-1,1),"")</f>
        <v>0</v>
      </c>
      <c r="AM106" s="905">
        <f t="shared" si="5"/>
        <v>0</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f t="shared" si="6"/>
        <v>0</v>
      </c>
      <c r="AU106" s="488">
        <f t="shared" si="6"/>
        <v>0</v>
      </c>
      <c r="AV106" s="899">
        <f>IFERROR(INDEX(V106:AG106,1,MATCH(Parametres!$B$3,V$1:AG$1,0)-1)*IF(OR(C106="L",C106="S",C106="I"),-1,1),"")</f>
        <v>0</v>
      </c>
      <c r="AW106" s="899">
        <f t="shared" si="7"/>
        <v>0</v>
      </c>
      <c r="AX106" s="899">
        <f>INDEX(V106:AG106,1,MATCH(Parametres!$B$3,V$1:AG$1,0))*IF(OR(C106="L",C106="S",C106="I"),-1,1)</f>
        <v>0</v>
      </c>
      <c r="AY106" s="487" t="s">
        <v>337</v>
      </c>
      <c r="AZ106" s="487" t="e">
        <f>+VLOOKUP($AJ106,Data_Validation!$A:$E,5,0)</f>
        <v>#N/A</v>
      </c>
    </row>
    <row r="107" spans="36:52" ht="15" customHeight="1">
      <c r="AJ107" s="899">
        <f t="shared" si="4"/>
        <v>0</v>
      </c>
      <c r="AK107" s="899">
        <f t="shared" si="4"/>
        <v>0</v>
      </c>
      <c r="AL107" s="905">
        <f>IFERROR(INDEX(G107:R107,1,MATCH(Parametres!$B$3,G$1:R$1,0)-1)*IF(OR(F107="L",F107="S",F107="I"),-1,1),"")</f>
        <v>0</v>
      </c>
      <c r="AM107" s="905">
        <f t="shared" si="5"/>
        <v>0</v>
      </c>
      <c r="AN107" s="905">
        <f>INDEX(G107:R107,1,MATCH(Parametres!$B$3,G$1:R$1,0))*IF(OR(F107="L",F107="S",F107="I"),-1,1)</f>
        <v>0</v>
      </c>
      <c r="AO107" s="487" t="e">
        <f>+VLOOKUP($AJ107,Data_Validation!$A:$D,1,0)</f>
        <v>#N/A</v>
      </c>
      <c r="AP107" s="487" t="e">
        <f>+VLOOKUP($AJ107,Data_Validation!$A:$D,3,0)</f>
        <v>#N/A</v>
      </c>
      <c r="AQ107" s="487" t="e">
        <f>+VLOOKUP($AJ107,Data_Validation!$A:$D,4,0)</f>
        <v>#N/A</v>
      </c>
      <c r="AR107" s="487" t="s">
        <v>299</v>
      </c>
      <c r="AS107" s="487" t="e">
        <f>+VLOOKUP($AJ107,Data_Validation!$A:$E,5,0)</f>
        <v>#N/A</v>
      </c>
      <c r="AT107" s="904">
        <f t="shared" si="6"/>
        <v>0</v>
      </c>
      <c r="AU107" s="488">
        <f t="shared" si="6"/>
        <v>0</v>
      </c>
      <c r="AV107" s="899">
        <f>IFERROR(INDEX(V107:AG107,1,MATCH(Parametres!$B$3,V$1:AG$1,0)-1)*IF(OR(C107="L",C107="S",C107="I"),-1,1),"")</f>
        <v>0</v>
      </c>
      <c r="AW107" s="899">
        <f t="shared" si="7"/>
        <v>0</v>
      </c>
      <c r="AX107" s="899">
        <f>INDEX(V107:AG107,1,MATCH(Parametres!$B$3,V$1:AG$1,0))*IF(OR(C107="L",C107="S",C107="I"),-1,1)</f>
        <v>0</v>
      </c>
      <c r="AY107" s="487" t="s">
        <v>337</v>
      </c>
      <c r="AZ107" s="487" t="e">
        <f>+VLOOKUP($AJ107,Data_Validation!$A:$E,5,0)</f>
        <v>#N/A</v>
      </c>
    </row>
    <row r="108" spans="36:52" ht="15" customHeight="1">
      <c r="AJ108" s="899">
        <f t="shared" si="4"/>
        <v>0</v>
      </c>
      <c r="AK108" s="899">
        <f t="shared" si="4"/>
        <v>0</v>
      </c>
      <c r="AL108" s="905">
        <f>IFERROR(INDEX(G108:R108,1,MATCH(Parametres!$B$3,G$1:R$1,0)-1)*IF(OR(F108="L",F108="S",F108="I"),-1,1),"")</f>
        <v>0</v>
      </c>
      <c r="AM108" s="905">
        <f t="shared" si="5"/>
        <v>0</v>
      </c>
      <c r="AN108" s="905">
        <f>INDEX(G108:R108,1,MATCH(Parametres!$B$3,G$1:R$1,0))*IF(OR(F108="L",F108="S",F108="I"),-1,1)</f>
        <v>0</v>
      </c>
      <c r="AO108" s="487" t="e">
        <f>+VLOOKUP($AJ108,Data_Validation!$A:$D,1,0)</f>
        <v>#N/A</v>
      </c>
      <c r="AP108" s="487" t="e">
        <f>+VLOOKUP($AJ108,Data_Validation!$A:$D,3,0)</f>
        <v>#N/A</v>
      </c>
      <c r="AQ108" s="487" t="e">
        <f>+VLOOKUP($AJ108,Data_Validation!$A:$D,4,0)</f>
        <v>#N/A</v>
      </c>
      <c r="AR108" s="487" t="s">
        <v>299</v>
      </c>
      <c r="AS108" s="487" t="e">
        <f>+VLOOKUP($AJ108,Data_Validation!$A:$E,5,0)</f>
        <v>#N/A</v>
      </c>
      <c r="AT108" s="904">
        <f t="shared" si="6"/>
        <v>0</v>
      </c>
      <c r="AU108" s="488">
        <f t="shared" si="6"/>
        <v>0</v>
      </c>
      <c r="AV108" s="899">
        <f>IFERROR(INDEX(V108:AG108,1,MATCH(Parametres!$B$3,V$1:AG$1,0)-1)*IF(OR(C108="L",C108="S",C108="I"),-1,1),"")</f>
        <v>0</v>
      </c>
      <c r="AW108" s="899">
        <f t="shared" si="7"/>
        <v>0</v>
      </c>
      <c r="AX108" s="899">
        <f>INDEX(V108:AG108,1,MATCH(Parametres!$B$3,V$1:AG$1,0))*IF(OR(C108="L",C108="S",C108="I"),-1,1)</f>
        <v>0</v>
      </c>
      <c r="AY108" s="487" t="s">
        <v>337</v>
      </c>
      <c r="AZ108" s="487" t="e">
        <f>+VLOOKUP($AJ108,Data_Validation!$A:$E,5,0)</f>
        <v>#N/A</v>
      </c>
    </row>
    <row r="109" spans="36:52" ht="15.75" customHeight="1">
      <c r="AJ109" s="899">
        <f t="shared" si="4"/>
        <v>0</v>
      </c>
      <c r="AK109" s="899">
        <f t="shared" si="4"/>
        <v>0</v>
      </c>
      <c r="AL109" s="905">
        <f>IFERROR(INDEX(G109:R109,1,MATCH(Parametres!$B$3,G$1:R$1,0)-1)*IF(OR(F109="L",F109="S",F109="I"),-1,1),"")</f>
        <v>0</v>
      </c>
      <c r="AM109" s="905">
        <f t="shared" si="5"/>
        <v>0</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f t="shared" si="6"/>
        <v>0</v>
      </c>
      <c r="AU109" s="488">
        <f t="shared" si="6"/>
        <v>0</v>
      </c>
      <c r="AV109" s="899">
        <f>IFERROR(INDEX(V109:AG109,1,MATCH(Parametres!$B$3,V$1:AG$1,0)-1)*IF(OR(C109="L",C109="S",C109="I"),-1,1),"")</f>
        <v>0</v>
      </c>
      <c r="AW109" s="899">
        <f t="shared" si="7"/>
        <v>0</v>
      </c>
      <c r="AX109" s="899">
        <f>INDEX(V109:AG109,1,MATCH(Parametres!$B$3,V$1:AG$1,0))*IF(OR(C109="L",C109="S",C109="I"),-1,1)</f>
        <v>0</v>
      </c>
      <c r="AY109" s="487" t="s">
        <v>337</v>
      </c>
      <c r="AZ109" s="487" t="e">
        <f>+VLOOKUP($AJ109,Data_Validation!$A:$E,5,0)</f>
        <v>#N/A</v>
      </c>
    </row>
    <row r="110" spans="36:52" ht="15" customHeight="1">
      <c r="AJ110" s="899">
        <f t="shared" si="4"/>
        <v>0</v>
      </c>
      <c r="AK110" s="899">
        <f t="shared" si="4"/>
        <v>0</v>
      </c>
      <c r="AL110" s="905">
        <f>IFERROR(INDEX(G110:R110,1,MATCH(Parametres!$B$3,G$1:R$1,0)-1)*IF(OR(F110="L",F110="S",F110="I"),-1,1),"")</f>
        <v>0</v>
      </c>
      <c r="AM110" s="905">
        <f t="shared" si="5"/>
        <v>0</v>
      </c>
      <c r="AN110" s="905">
        <f>INDEX(G110:R110,1,MATCH(Parametres!$B$3,G$1:R$1,0))*IF(OR(F110="L",F110="S",F110="I"),-1,1)</f>
        <v>0</v>
      </c>
      <c r="AO110" s="487" t="e">
        <f>+VLOOKUP($AJ110,Data_Validation!$A:$D,1,0)</f>
        <v>#N/A</v>
      </c>
      <c r="AP110" s="487" t="e">
        <f>+VLOOKUP($AJ110,Data_Validation!$A:$D,3,0)</f>
        <v>#N/A</v>
      </c>
      <c r="AQ110" s="487" t="e">
        <f>+VLOOKUP($AJ110,Data_Validation!$A:$D,4,0)</f>
        <v>#N/A</v>
      </c>
      <c r="AR110" s="487" t="s">
        <v>299</v>
      </c>
      <c r="AS110" s="487" t="e">
        <f>+VLOOKUP($AJ110,Data_Validation!$A:$E,5,0)</f>
        <v>#N/A</v>
      </c>
      <c r="AT110" s="904">
        <f t="shared" si="6"/>
        <v>0</v>
      </c>
      <c r="AU110" s="488">
        <f t="shared" si="6"/>
        <v>0</v>
      </c>
      <c r="AV110" s="899">
        <f>IFERROR(INDEX(V110:AG110,1,MATCH(Parametres!$B$3,V$1:AG$1,0)-1)*IF(OR(C110="L",C110="S",C110="I"),-1,1),"")</f>
        <v>0</v>
      </c>
      <c r="AW110" s="899">
        <f t="shared" si="7"/>
        <v>0</v>
      </c>
      <c r="AX110" s="899">
        <f>INDEX(V110:AG110,1,MATCH(Parametres!$B$3,V$1:AG$1,0))*IF(OR(C110="L",C110="S",C110="I"),-1,1)</f>
        <v>0</v>
      </c>
      <c r="AY110" s="487" t="s">
        <v>337</v>
      </c>
      <c r="AZ110" s="487" t="e">
        <f>+VLOOKUP($AJ110,Data_Validation!$A:$E,5,0)</f>
        <v>#N/A</v>
      </c>
    </row>
    <row r="111" spans="36:52" ht="15" customHeight="1">
      <c r="AJ111" s="899">
        <f t="shared" si="4"/>
        <v>0</v>
      </c>
      <c r="AK111" s="899">
        <f t="shared" si="4"/>
        <v>0</v>
      </c>
      <c r="AL111" s="905">
        <f>IFERROR(INDEX(G111:R111,1,MATCH(Parametres!$B$3,G$1:R$1,0)-1)*IF(OR(F111="L",F111="S",F111="I"),-1,1),"")</f>
        <v>0</v>
      </c>
      <c r="AM111" s="905">
        <f t="shared" si="5"/>
        <v>0</v>
      </c>
      <c r="AN111" s="905">
        <f>INDEX(G111:R111,1,MATCH(Parametres!$B$3,G$1:R$1,0))*IF(OR(F111="L",F111="S",F111="I"),-1,1)</f>
        <v>0</v>
      </c>
      <c r="AO111" s="487" t="e">
        <f>+VLOOKUP($AJ111,Data_Validation!$A:$D,1,0)</f>
        <v>#N/A</v>
      </c>
      <c r="AP111" s="487" t="e">
        <f>+VLOOKUP($AJ111,Data_Validation!$A:$D,3,0)</f>
        <v>#N/A</v>
      </c>
      <c r="AQ111" s="487" t="e">
        <f>+VLOOKUP($AJ111,Data_Validation!$A:$D,4,0)</f>
        <v>#N/A</v>
      </c>
      <c r="AR111" s="487" t="s">
        <v>299</v>
      </c>
      <c r="AS111" s="487" t="e">
        <f>+VLOOKUP($AJ111,Data_Validation!$A:$E,5,0)</f>
        <v>#N/A</v>
      </c>
      <c r="AT111" s="904">
        <f t="shared" si="6"/>
        <v>0</v>
      </c>
      <c r="AU111" s="488">
        <f t="shared" si="6"/>
        <v>0</v>
      </c>
      <c r="AV111" s="899">
        <f>IFERROR(INDEX(V111:AG111,1,MATCH(Parametres!$B$3,V$1:AG$1,0)-1)*IF(OR(C111="L",C111="S",C111="I"),-1,1),"")</f>
        <v>0</v>
      </c>
      <c r="AW111" s="899">
        <f t="shared" si="7"/>
        <v>0</v>
      </c>
      <c r="AX111" s="899">
        <f>INDEX(V111:AG111,1,MATCH(Parametres!$B$3,V$1:AG$1,0))*IF(OR(C111="L",C111="S",C111="I"),-1,1)</f>
        <v>0</v>
      </c>
      <c r="AY111" s="487" t="s">
        <v>337</v>
      </c>
      <c r="AZ111" s="487" t="e">
        <f>+VLOOKUP($AJ111,Data_Validation!$A:$E,5,0)</f>
        <v>#N/A</v>
      </c>
    </row>
    <row r="112" spans="36:52" ht="15" customHeight="1">
      <c r="AJ112" s="899">
        <f t="shared" si="4"/>
        <v>0</v>
      </c>
      <c r="AK112" s="899">
        <f t="shared" si="4"/>
        <v>0</v>
      </c>
      <c r="AL112" s="905">
        <f>IFERROR(INDEX(G112:R112,1,MATCH(Parametres!$B$3,G$1:R$1,0)-1)*IF(OR(F112="L",F112="S",F112="I"),-1,1),"")</f>
        <v>0</v>
      </c>
      <c r="AM112" s="905">
        <f t="shared" si="5"/>
        <v>0</v>
      </c>
      <c r="AN112" s="905">
        <f>INDEX(G112:R112,1,MATCH(Parametres!$B$3,G$1:R$1,0))*IF(OR(F112="L",F112="S",F112="I"),-1,1)</f>
        <v>0</v>
      </c>
      <c r="AO112" s="487" t="e">
        <f>+VLOOKUP($AJ112,Data_Validation!$A:$D,1,0)</f>
        <v>#N/A</v>
      </c>
      <c r="AP112" s="487" t="e">
        <f>+VLOOKUP($AJ112,Data_Validation!$A:$D,3,0)</f>
        <v>#N/A</v>
      </c>
      <c r="AQ112" s="487" t="e">
        <f>+VLOOKUP($AJ112,Data_Validation!$A:$D,4,0)</f>
        <v>#N/A</v>
      </c>
      <c r="AR112" s="487" t="s">
        <v>299</v>
      </c>
      <c r="AS112" s="487" t="e">
        <f>+VLOOKUP($AJ112,Data_Validation!$A:$E,5,0)</f>
        <v>#N/A</v>
      </c>
      <c r="AT112" s="904">
        <f t="shared" si="6"/>
        <v>0</v>
      </c>
      <c r="AU112" s="488">
        <f t="shared" si="6"/>
        <v>0</v>
      </c>
      <c r="AV112" s="899">
        <f>IFERROR(INDEX(V112:AG112,1,MATCH(Parametres!$B$3,V$1:AG$1,0)-1)*IF(OR(C112="L",C112="S",C112="I"),-1,1),"")</f>
        <v>0</v>
      </c>
      <c r="AW112" s="899">
        <f t="shared" si="7"/>
        <v>0</v>
      </c>
      <c r="AX112" s="899">
        <f>INDEX(V112:AG112,1,MATCH(Parametres!$B$3,V$1:AG$1,0))*IF(OR(C112="L",C112="S",C112="I"),-1,1)</f>
        <v>0</v>
      </c>
      <c r="AY112" s="487" t="s">
        <v>337</v>
      </c>
      <c r="AZ112" s="487" t="e">
        <f>+VLOOKUP($AJ112,Data_Validation!$A:$E,5,0)</f>
        <v>#N/A</v>
      </c>
    </row>
    <row r="113" spans="36:52" ht="15.75" customHeight="1">
      <c r="AJ113" s="899">
        <f t="shared" si="4"/>
        <v>0</v>
      </c>
      <c r="AK113" s="899">
        <f t="shared" si="4"/>
        <v>0</v>
      </c>
      <c r="AL113" s="905">
        <f>IFERROR(INDEX(G113:R113,1,MATCH(Parametres!$B$3,G$1:R$1,0)-1)*IF(OR(F113="L",F113="S",F113="I"),-1,1),"")</f>
        <v>0</v>
      </c>
      <c r="AM113" s="905">
        <f t="shared" si="5"/>
        <v>0</v>
      </c>
      <c r="AN113" s="905">
        <f>INDEX(G113:R113,1,MATCH(Parametres!$B$3,G$1:R$1,0))*IF(OR(F113="L",F113="S",F113="I"),-1,1)</f>
        <v>0</v>
      </c>
      <c r="AO113" s="487" t="e">
        <f>+VLOOKUP($AJ113,Data_Validation!$A:$D,1,0)</f>
        <v>#N/A</v>
      </c>
      <c r="AP113" s="487" t="e">
        <f>+VLOOKUP($AJ113,Data_Validation!$A:$D,3,0)</f>
        <v>#N/A</v>
      </c>
      <c r="AQ113" s="487" t="e">
        <f>+VLOOKUP($AJ113,Data_Validation!$A:$D,4,0)</f>
        <v>#N/A</v>
      </c>
      <c r="AR113" s="487" t="s">
        <v>299</v>
      </c>
      <c r="AS113" s="487" t="e">
        <f>+VLOOKUP($AJ113,Data_Validation!$A:$E,5,0)</f>
        <v>#N/A</v>
      </c>
      <c r="AT113" s="904">
        <f t="shared" si="6"/>
        <v>0</v>
      </c>
      <c r="AU113" s="488">
        <f t="shared" si="6"/>
        <v>0</v>
      </c>
      <c r="AV113" s="899">
        <f>IFERROR(INDEX(V113:AG113,1,MATCH(Parametres!$B$3,V$1:AG$1,0)-1)*IF(OR(C113="L",C113="S",C113="I"),-1,1),"")</f>
        <v>0</v>
      </c>
      <c r="AW113" s="899">
        <f t="shared" si="7"/>
        <v>0</v>
      </c>
      <c r="AX113" s="899">
        <f>INDEX(V113:AG113,1,MATCH(Parametres!$B$3,V$1:AG$1,0))*IF(OR(C113="L",C113="S",C113="I"),-1,1)</f>
        <v>0</v>
      </c>
      <c r="AY113" s="487" t="s">
        <v>337</v>
      </c>
      <c r="AZ113" s="487" t="e">
        <f>+VLOOKUP($AJ113,Data_Validation!$A:$E,5,0)</f>
        <v>#N/A</v>
      </c>
    </row>
    <row r="114" spans="36:52" ht="15" customHeight="1">
      <c r="AJ114" s="899">
        <f t="shared" si="4"/>
        <v>0</v>
      </c>
      <c r="AK114" s="899">
        <f t="shared" si="4"/>
        <v>0</v>
      </c>
      <c r="AL114" s="905">
        <f>IFERROR(INDEX(G114:R114,1,MATCH(Parametres!$B$3,G$1:R$1,0)-1)*IF(OR(F114="L",F114="S",F114="I"),-1,1),"")</f>
        <v>0</v>
      </c>
      <c r="AM114" s="905">
        <f t="shared" si="5"/>
        <v>0</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f t="shared" si="6"/>
        <v>0</v>
      </c>
      <c r="AU114" s="488">
        <f t="shared" si="6"/>
        <v>0</v>
      </c>
      <c r="AV114" s="899">
        <f>IFERROR(INDEX(V114:AG114,1,MATCH(Parametres!$B$3,V$1:AG$1,0)-1)*IF(OR(C114="L",C114="S",C114="I"),-1,1),"")</f>
        <v>0</v>
      </c>
      <c r="AW114" s="899">
        <f t="shared" si="7"/>
        <v>0</v>
      </c>
      <c r="AX114" s="899">
        <f>INDEX(V114:AG114,1,MATCH(Parametres!$B$3,V$1:AG$1,0))*IF(OR(C114="L",C114="S",C114="I"),-1,1)</f>
        <v>0</v>
      </c>
      <c r="AY114" s="487" t="s">
        <v>337</v>
      </c>
      <c r="AZ114" s="487" t="e">
        <f>+VLOOKUP($AJ114,Data_Validation!$A:$E,5,0)</f>
        <v>#N/A</v>
      </c>
    </row>
    <row r="115" spans="36:52" ht="15" customHeight="1">
      <c r="AJ115" s="899">
        <f t="shared" si="4"/>
        <v>0</v>
      </c>
      <c r="AK115" s="899">
        <f t="shared" si="4"/>
        <v>0</v>
      </c>
      <c r="AL115" s="905">
        <f>IFERROR(INDEX(G115:R115,1,MATCH(Parametres!$B$3,G$1:R$1,0)-1)*IF(OR(F115="L",F115="S",F115="I"),-1,1),"")</f>
        <v>0</v>
      </c>
      <c r="AM115" s="905">
        <f t="shared" si="5"/>
        <v>0</v>
      </c>
      <c r="AN115" s="905">
        <f>INDEX(G115:R115,1,MATCH(Parametres!$B$3,G$1:R$1,0))*IF(OR(F115="L",F115="S",F115="I"),-1,1)</f>
        <v>0</v>
      </c>
      <c r="AO115" s="487" t="e">
        <f>+VLOOKUP($AJ115,Data_Validation!$A:$D,1,0)</f>
        <v>#N/A</v>
      </c>
      <c r="AP115" s="487" t="e">
        <f>+VLOOKUP($AJ115,Data_Validation!$A:$D,3,0)</f>
        <v>#N/A</v>
      </c>
      <c r="AQ115" s="487" t="e">
        <f>+VLOOKUP($AJ115,Data_Validation!$A:$D,4,0)</f>
        <v>#N/A</v>
      </c>
      <c r="AR115" s="487" t="s">
        <v>299</v>
      </c>
      <c r="AS115" s="487" t="e">
        <f>+VLOOKUP($AJ115,Data_Validation!$A:$E,5,0)</f>
        <v>#N/A</v>
      </c>
      <c r="AT115" s="904">
        <f t="shared" si="6"/>
        <v>0</v>
      </c>
      <c r="AU115" s="488">
        <f t="shared" si="6"/>
        <v>0</v>
      </c>
      <c r="AV115" s="899">
        <f>IFERROR(INDEX(V115:AG115,1,MATCH(Parametres!$B$3,V$1:AG$1,0)-1)*IF(OR(C115="L",C115="S",C115="I"),-1,1),"")</f>
        <v>0</v>
      </c>
      <c r="AW115" s="899">
        <f t="shared" si="7"/>
        <v>0</v>
      </c>
      <c r="AX115" s="899">
        <f>INDEX(V115:AG115,1,MATCH(Parametres!$B$3,V$1:AG$1,0))*IF(OR(C115="L",C115="S",C115="I"),-1,1)</f>
        <v>0</v>
      </c>
      <c r="AY115" s="487" t="s">
        <v>337</v>
      </c>
      <c r="AZ115" s="487" t="e">
        <f>+VLOOKUP($AJ115,Data_Validation!$A:$E,5,0)</f>
        <v>#N/A</v>
      </c>
    </row>
    <row r="116" spans="36:52" ht="15" customHeight="1">
      <c r="AJ116" s="899">
        <f t="shared" si="4"/>
        <v>0</v>
      </c>
      <c r="AK116" s="899">
        <f t="shared" si="4"/>
        <v>0</v>
      </c>
      <c r="AL116" s="905">
        <f>IFERROR(INDEX(G116:R116,1,MATCH(Parametres!$B$3,G$1:R$1,0)-1)*IF(OR(F116="L",F116="S",F116="I"),-1,1),"")</f>
        <v>0</v>
      </c>
      <c r="AM116" s="905">
        <f t="shared" si="5"/>
        <v>0</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f t="shared" si="6"/>
        <v>0</v>
      </c>
      <c r="AU116" s="488">
        <f t="shared" si="6"/>
        <v>0</v>
      </c>
      <c r="AV116" s="899">
        <f>IFERROR(INDEX(V116:AG116,1,MATCH(Parametres!$B$3,V$1:AG$1,0)-1)*IF(OR(C116="L",C116="S",C116="I"),-1,1),"")</f>
        <v>0</v>
      </c>
      <c r="AW116" s="899">
        <f t="shared" si="7"/>
        <v>0</v>
      </c>
      <c r="AX116" s="899">
        <f>INDEX(V116:AG116,1,MATCH(Parametres!$B$3,V$1:AG$1,0))*IF(OR(C116="L",C116="S",C116="I"),-1,1)</f>
        <v>0</v>
      </c>
      <c r="AY116" s="487" t="s">
        <v>337</v>
      </c>
      <c r="AZ116" s="487" t="e">
        <f>+VLOOKUP($AJ116,Data_Validation!$A:$E,5,0)</f>
        <v>#N/A</v>
      </c>
    </row>
    <row r="117" spans="36:52" ht="15.75" customHeight="1">
      <c r="AJ117" s="899">
        <f t="shared" si="4"/>
        <v>0</v>
      </c>
      <c r="AK117" s="899">
        <f t="shared" si="4"/>
        <v>0</v>
      </c>
      <c r="AL117" s="905">
        <f>IFERROR(INDEX(G117:R117,1,MATCH(Parametres!$B$3,G$1:R$1,0)-1)*IF(OR(F117="L",F117="S",F117="I"),-1,1),"")</f>
        <v>0</v>
      </c>
      <c r="AM117" s="905">
        <f t="shared" si="5"/>
        <v>0</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f t="shared" si="6"/>
        <v>0</v>
      </c>
      <c r="AU117" s="488">
        <f t="shared" si="6"/>
        <v>0</v>
      </c>
      <c r="AV117" s="899">
        <f>IFERROR(INDEX(V117:AG117,1,MATCH(Parametres!$B$3,V$1:AG$1,0)-1)*IF(OR(C117="L",C117="S",C117="I"),-1,1),"")</f>
        <v>0</v>
      </c>
      <c r="AW117" s="899">
        <f t="shared" si="7"/>
        <v>0</v>
      </c>
      <c r="AX117" s="899">
        <f>INDEX(V117:AG117,1,MATCH(Parametres!$B$3,V$1:AG$1,0))*IF(OR(C117="L",C117="S",C117="I"),-1,1)</f>
        <v>0</v>
      </c>
      <c r="AY117" s="487" t="s">
        <v>337</v>
      </c>
      <c r="AZ117" s="487" t="e">
        <f>+VLOOKUP($AJ117,Data_Validation!$A:$E,5,0)</f>
        <v>#N/A</v>
      </c>
    </row>
    <row r="118" spans="36:52" ht="15" customHeight="1">
      <c r="AJ118" s="899">
        <f t="shared" si="4"/>
        <v>0</v>
      </c>
      <c r="AK118" s="899">
        <f t="shared" si="4"/>
        <v>0</v>
      </c>
      <c r="AL118" s="905">
        <f>IFERROR(INDEX(G118:R118,1,MATCH(Parametres!$B$3,G$1:R$1,0)-1)*IF(OR(F118="L",F118="S",F118="I"),-1,1),"")</f>
        <v>0</v>
      </c>
      <c r="AM118" s="905">
        <f t="shared" si="5"/>
        <v>0</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f t="shared" si="6"/>
        <v>0</v>
      </c>
      <c r="AU118" s="488">
        <f t="shared" si="6"/>
        <v>0</v>
      </c>
      <c r="AV118" s="899">
        <f>IFERROR(INDEX(V118:AG118,1,MATCH(Parametres!$B$3,V$1:AG$1,0)-1)*IF(OR(C118="L",C118="S",C118="I"),-1,1),"")</f>
        <v>0</v>
      </c>
      <c r="AW118" s="899">
        <f t="shared" si="7"/>
        <v>0</v>
      </c>
      <c r="AX118" s="899">
        <f>INDEX(V118:AG118,1,MATCH(Parametres!$B$3,V$1:AG$1,0))*IF(OR(C118="L",C118="S",C118="I"),-1,1)</f>
        <v>0</v>
      </c>
      <c r="AY118" s="487" t="s">
        <v>337</v>
      </c>
      <c r="AZ118" s="487" t="e">
        <f>+VLOOKUP($AJ118,Data_Validation!$A:$E,5,0)</f>
        <v>#N/A</v>
      </c>
    </row>
    <row r="119" spans="36:52" ht="15" customHeight="1">
      <c r="AJ119" s="899">
        <f t="shared" si="4"/>
        <v>0</v>
      </c>
      <c r="AK119" s="899">
        <f t="shared" si="4"/>
        <v>0</v>
      </c>
      <c r="AL119" s="905">
        <f>IFERROR(INDEX(G119:R119,1,MATCH(Parametres!$B$3,G$1:R$1,0)-1)*IF(OR(F119="L",F119="S",F119="I"),-1,1),"")</f>
        <v>0</v>
      </c>
      <c r="AM119" s="905">
        <f t="shared" si="5"/>
        <v>0</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f t="shared" si="6"/>
        <v>0</v>
      </c>
      <c r="AU119" s="488">
        <f t="shared" si="6"/>
        <v>0</v>
      </c>
      <c r="AV119" s="899">
        <f>IFERROR(INDEX(V119:AG119,1,MATCH(Parametres!$B$3,V$1:AG$1,0)-1)*IF(OR(C119="L",C119="S",C119="I"),-1,1),"")</f>
        <v>0</v>
      </c>
      <c r="AW119" s="899">
        <f t="shared" si="7"/>
        <v>0</v>
      </c>
      <c r="AX119" s="899">
        <f>INDEX(V119:AG119,1,MATCH(Parametres!$B$3,V$1:AG$1,0))*IF(OR(C119="L",C119="S",C119="I"),-1,1)</f>
        <v>0</v>
      </c>
      <c r="AY119" s="487" t="s">
        <v>337</v>
      </c>
      <c r="AZ119" s="487" t="e">
        <f>+VLOOKUP($AJ119,Data_Validation!$A:$E,5,0)</f>
        <v>#N/A</v>
      </c>
    </row>
    <row r="120" spans="36:52" ht="15" customHeight="1">
      <c r="AJ120" s="899">
        <f t="shared" si="4"/>
        <v>0</v>
      </c>
      <c r="AK120" s="899">
        <f t="shared" si="4"/>
        <v>0</v>
      </c>
      <c r="AL120" s="905">
        <f>IFERROR(INDEX(G120:R120,1,MATCH(Parametres!$B$3,G$1:R$1,0)-1)*IF(OR(F120="L",F120="S",F120="I"),-1,1),"")</f>
        <v>0</v>
      </c>
      <c r="AM120" s="905">
        <f t="shared" si="5"/>
        <v>0</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f t="shared" si="6"/>
        <v>0</v>
      </c>
      <c r="AU120" s="488">
        <f t="shared" si="6"/>
        <v>0</v>
      </c>
      <c r="AV120" s="899">
        <f>IFERROR(INDEX(V120:AG120,1,MATCH(Parametres!$B$3,V$1:AG$1,0)-1)*IF(OR(C120="L",C120="S",C120="I"),-1,1),"")</f>
        <v>0</v>
      </c>
      <c r="AW120" s="899">
        <f t="shared" si="7"/>
        <v>0</v>
      </c>
      <c r="AX120" s="899">
        <f>INDEX(V120:AG120,1,MATCH(Parametres!$B$3,V$1:AG$1,0))*IF(OR(C120="L",C120="S",C120="I"),-1,1)</f>
        <v>0</v>
      </c>
      <c r="AY120" s="487" t="s">
        <v>337</v>
      </c>
      <c r="AZ120" s="487" t="e">
        <f>+VLOOKUP($AJ120,Data_Validation!$A:$E,5,0)</f>
        <v>#N/A</v>
      </c>
    </row>
    <row r="121" spans="36:52" ht="15" customHeight="1">
      <c r="AJ121" s="899">
        <f t="shared" si="4"/>
        <v>0</v>
      </c>
      <c r="AK121" s="899">
        <f t="shared" si="4"/>
        <v>0</v>
      </c>
      <c r="AL121" s="905">
        <f>IFERROR(INDEX(G121:R121,1,MATCH(Parametres!$B$3,G$1:R$1,0)-1)*IF(OR(F121="L",F121="S",F121="I"),-1,1),"")</f>
        <v>0</v>
      </c>
      <c r="AM121" s="905">
        <f t="shared" si="5"/>
        <v>0</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f t="shared" si="6"/>
        <v>0</v>
      </c>
      <c r="AU121" s="488">
        <f t="shared" si="6"/>
        <v>0</v>
      </c>
      <c r="AV121" s="899">
        <f>IFERROR(INDEX(V121:AG121,1,MATCH(Parametres!$B$3,V$1:AG$1,0)-1)*IF(OR(C121="L",C121="S",C121="I"),-1,1),"")</f>
        <v>0</v>
      </c>
      <c r="AW121" s="899">
        <f t="shared" si="7"/>
        <v>0</v>
      </c>
      <c r="AX121" s="899">
        <f>INDEX(V121:AG121,1,MATCH(Parametres!$B$3,V$1:AG$1,0))*IF(OR(C121="L",C121="S",C121="I"),-1,1)</f>
        <v>0</v>
      </c>
      <c r="AY121" s="487" t="s">
        <v>337</v>
      </c>
      <c r="AZ121" s="487" t="e">
        <f>+VLOOKUP($AJ121,Data_Validation!$A:$E,5,0)</f>
        <v>#N/A</v>
      </c>
    </row>
    <row r="122" spans="36:52" ht="15" customHeight="1">
      <c r="AJ122" s="899">
        <f t="shared" si="4"/>
        <v>0</v>
      </c>
      <c r="AK122" s="899">
        <f t="shared" si="4"/>
        <v>0</v>
      </c>
      <c r="AL122" s="905">
        <f>IFERROR(INDEX(G122:R122,1,MATCH(Parametres!$B$3,G$1:R$1,0)-1)*IF(OR(F122="L",F122="S",F122="I"),-1,1),"")</f>
        <v>0</v>
      </c>
      <c r="AM122" s="905">
        <f t="shared" si="5"/>
        <v>0</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f t="shared" si="6"/>
        <v>0</v>
      </c>
      <c r="AU122" s="488">
        <f t="shared" si="6"/>
        <v>0</v>
      </c>
      <c r="AV122" s="899">
        <f>IFERROR(INDEX(V122:AG122,1,MATCH(Parametres!$B$3,V$1:AG$1,0)-1)*IF(OR(C122="L",C122="S",C122="I"),-1,1),"")</f>
        <v>0</v>
      </c>
      <c r="AW122" s="899">
        <f t="shared" si="7"/>
        <v>0</v>
      </c>
      <c r="AX122" s="899">
        <f>INDEX(V122:AG122,1,MATCH(Parametres!$B$3,V$1:AG$1,0))*IF(OR(C122="L",C122="S",C122="I"),-1,1)</f>
        <v>0</v>
      </c>
      <c r="AY122" s="487" t="s">
        <v>337</v>
      </c>
      <c r="AZ122" s="487" t="e">
        <f>+VLOOKUP($AJ122,Data_Validation!$A:$E,5,0)</f>
        <v>#N/A</v>
      </c>
    </row>
    <row r="123" spans="36:52" ht="15.75" customHeight="1">
      <c r="AJ123" s="899">
        <f t="shared" si="4"/>
        <v>0</v>
      </c>
      <c r="AK123" s="899">
        <f t="shared" si="4"/>
        <v>0</v>
      </c>
      <c r="AL123" s="905">
        <f>IFERROR(INDEX(G123:R123,1,MATCH(Parametres!$B$3,G$1:R$1,0)-1)*IF(OR(F123="L",F123="S",F123="I"),-1,1),"")</f>
        <v>0</v>
      </c>
      <c r="AM123" s="905">
        <f t="shared" si="5"/>
        <v>0</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f t="shared" si="6"/>
        <v>0</v>
      </c>
      <c r="AU123" s="488">
        <f t="shared" si="6"/>
        <v>0</v>
      </c>
      <c r="AV123" s="899">
        <f>IFERROR(INDEX(V123:AG123,1,MATCH(Parametres!$B$3,V$1:AG$1,0)-1)*IF(OR(C123="L",C123="S",C123="I"),-1,1),"")</f>
        <v>0</v>
      </c>
      <c r="AW123" s="899">
        <f t="shared" si="7"/>
        <v>0</v>
      </c>
      <c r="AX123" s="899">
        <f>INDEX(V123:AG123,1,MATCH(Parametres!$B$3,V$1:AG$1,0))*IF(OR(C123="L",C123="S",C123="I"),-1,1)</f>
        <v>0</v>
      </c>
      <c r="AY123" s="487" t="s">
        <v>337</v>
      </c>
      <c r="AZ123" s="487" t="e">
        <f>+VLOOKUP($AJ123,Data_Validation!$A:$E,5,0)</f>
        <v>#N/A</v>
      </c>
    </row>
    <row r="124" spans="36:52" ht="15" customHeight="1">
      <c r="AJ124" s="899">
        <f t="shared" si="4"/>
        <v>0</v>
      </c>
      <c r="AK124" s="899">
        <f t="shared" si="4"/>
        <v>0</v>
      </c>
      <c r="AL124" s="905">
        <f>IFERROR(INDEX(G124:R124,1,MATCH(Parametres!$B$3,G$1:R$1,0)-1)*IF(OR(F124="L",F124="S",F124="I"),-1,1),"")</f>
        <v>0</v>
      </c>
      <c r="AM124" s="905">
        <f t="shared" si="5"/>
        <v>0</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f t="shared" si="6"/>
        <v>0</v>
      </c>
      <c r="AU124" s="488">
        <f t="shared" si="6"/>
        <v>0</v>
      </c>
      <c r="AV124" s="899">
        <f>IFERROR(INDEX(V124:AG124,1,MATCH(Parametres!$B$3,V$1:AG$1,0)-1)*IF(OR(C124="L",C124="S",C124="I"),-1,1),"")</f>
        <v>0</v>
      </c>
      <c r="AW124" s="899">
        <f t="shared" si="7"/>
        <v>0</v>
      </c>
      <c r="AX124" s="899">
        <f>INDEX(V124:AG124,1,MATCH(Parametres!$B$3,V$1:AG$1,0))*IF(OR(C124="L",C124="S",C124="I"),-1,1)</f>
        <v>0</v>
      </c>
      <c r="AY124" s="487" t="s">
        <v>337</v>
      </c>
      <c r="AZ124" s="487" t="e">
        <f>+VLOOKUP($AJ124,Data_Validation!$A:$E,5,0)</f>
        <v>#N/A</v>
      </c>
    </row>
    <row r="125" spans="36:52" ht="15" customHeight="1">
      <c r="AJ125" s="899">
        <f t="shared" si="4"/>
        <v>0</v>
      </c>
      <c r="AK125" s="899">
        <f t="shared" si="4"/>
        <v>0</v>
      </c>
      <c r="AL125" s="905">
        <f>IFERROR(INDEX(G125:R125,1,MATCH(Parametres!$B$3,G$1:R$1,0)-1)*IF(OR(F125="L",F125="S",F125="I"),-1,1),"")</f>
        <v>0</v>
      </c>
      <c r="AM125" s="905">
        <f t="shared" si="5"/>
        <v>0</v>
      </c>
      <c r="AN125" s="905">
        <f>INDEX(G125:R125,1,MATCH(Parametres!$B$3,G$1:R$1,0))*IF(OR(F125="L",F125="S",F125="I"),-1,1)</f>
        <v>0</v>
      </c>
      <c r="AO125" s="487" t="e">
        <f>+VLOOKUP($AJ125,Data_Validation!$A:$D,1,0)</f>
        <v>#N/A</v>
      </c>
      <c r="AP125" s="487" t="e">
        <f>+VLOOKUP($AJ125,Data_Validation!$A:$D,3,0)</f>
        <v>#N/A</v>
      </c>
      <c r="AQ125" s="487" t="e">
        <f>+VLOOKUP($AJ125,Data_Validation!$A:$D,4,0)</f>
        <v>#N/A</v>
      </c>
      <c r="AR125" s="487" t="s">
        <v>299</v>
      </c>
      <c r="AS125" s="487" t="e">
        <f>+VLOOKUP($AJ125,Data_Validation!$A:$E,5,0)</f>
        <v>#N/A</v>
      </c>
      <c r="AT125" s="904">
        <f t="shared" si="6"/>
        <v>0</v>
      </c>
      <c r="AU125" s="488">
        <f t="shared" si="6"/>
        <v>0</v>
      </c>
      <c r="AV125" s="899">
        <f>IFERROR(INDEX(V125:AG125,1,MATCH(Parametres!$B$3,V$1:AG$1,0)-1)*IF(OR(C125="L",C125="S",C125="I"),-1,1),"")</f>
        <v>0</v>
      </c>
      <c r="AW125" s="899">
        <f t="shared" si="7"/>
        <v>0</v>
      </c>
      <c r="AX125" s="899">
        <f>INDEX(V125:AG125,1,MATCH(Parametres!$B$3,V$1:AG$1,0))*IF(OR(C125="L",C125="S",C125="I"),-1,1)</f>
        <v>0</v>
      </c>
      <c r="AY125" s="487" t="s">
        <v>337</v>
      </c>
      <c r="AZ125" s="487" t="e">
        <f>+VLOOKUP($AJ125,Data_Validation!$A:$E,5,0)</f>
        <v>#N/A</v>
      </c>
    </row>
    <row r="126" spans="36:52" ht="15" customHeight="1">
      <c r="AJ126" s="899">
        <f t="shared" si="4"/>
        <v>0</v>
      </c>
      <c r="AK126" s="899">
        <f t="shared" si="4"/>
        <v>0</v>
      </c>
      <c r="AL126" s="905">
        <f>IFERROR(INDEX(G126:R126,1,MATCH(Parametres!$B$3,G$1:R$1,0)-1)*IF(OR(F126="L",F126="S",F126="I"),-1,1),"")</f>
        <v>0</v>
      </c>
      <c r="AM126" s="905">
        <f t="shared" si="5"/>
        <v>0</v>
      </c>
      <c r="AN126" s="905">
        <f>INDEX(G126:R126,1,MATCH(Parametres!$B$3,G$1:R$1,0))*IF(OR(F126="L",F126="S",F126="I"),-1,1)</f>
        <v>0</v>
      </c>
      <c r="AO126" s="487" t="e">
        <f>+VLOOKUP($AJ126,Data_Validation!$A:$D,1,0)</f>
        <v>#N/A</v>
      </c>
      <c r="AP126" s="487" t="e">
        <f>+VLOOKUP($AJ126,Data_Validation!$A:$D,3,0)</f>
        <v>#N/A</v>
      </c>
      <c r="AQ126" s="487" t="e">
        <f>+VLOOKUP($AJ126,Data_Validation!$A:$D,4,0)</f>
        <v>#N/A</v>
      </c>
      <c r="AR126" s="487" t="s">
        <v>299</v>
      </c>
      <c r="AS126" s="487" t="e">
        <f>+VLOOKUP($AJ126,Data_Validation!$A:$E,5,0)</f>
        <v>#N/A</v>
      </c>
      <c r="AT126" s="904">
        <f t="shared" si="6"/>
        <v>0</v>
      </c>
      <c r="AU126" s="488">
        <f t="shared" si="6"/>
        <v>0</v>
      </c>
      <c r="AV126" s="899">
        <f>IFERROR(INDEX(V126:AG126,1,MATCH(Parametres!$B$3,V$1:AG$1,0)-1)*IF(OR(C126="L",C126="S",C126="I"),-1,1),"")</f>
        <v>0</v>
      </c>
      <c r="AW126" s="899">
        <f t="shared" si="7"/>
        <v>0</v>
      </c>
      <c r="AX126" s="899">
        <f>INDEX(V126:AG126,1,MATCH(Parametres!$B$3,V$1:AG$1,0))*IF(OR(C126="L",C126="S",C126="I"),-1,1)</f>
        <v>0</v>
      </c>
      <c r="AY126" s="487" t="s">
        <v>337</v>
      </c>
      <c r="AZ126" s="487" t="e">
        <f>+VLOOKUP($AJ126,Data_Validation!$A:$E,5,0)</f>
        <v>#N/A</v>
      </c>
    </row>
    <row r="127" spans="36:52" ht="15" customHeight="1">
      <c r="AJ127" s="899">
        <f t="shared" si="4"/>
        <v>0</v>
      </c>
      <c r="AK127" s="899">
        <f t="shared" si="4"/>
        <v>0</v>
      </c>
      <c r="AL127" s="905">
        <f>IFERROR(INDEX(G127:R127,1,MATCH(Parametres!$B$3,G$1:R$1,0)-1)*IF(OR(F127="L",F127="S",F127="I"),-1,1),"")</f>
        <v>0</v>
      </c>
      <c r="AM127" s="905">
        <f t="shared" si="5"/>
        <v>0</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f t="shared" si="6"/>
        <v>0</v>
      </c>
      <c r="AU127" s="488">
        <f t="shared" si="6"/>
        <v>0</v>
      </c>
      <c r="AV127" s="899">
        <f>IFERROR(INDEX(V127:AG127,1,MATCH(Parametres!$B$3,V$1:AG$1,0)-1)*IF(OR(C127="L",C127="S",C127="I"),-1,1),"")</f>
        <v>0</v>
      </c>
      <c r="AW127" s="899">
        <f t="shared" si="7"/>
        <v>0</v>
      </c>
      <c r="AX127" s="899">
        <f>INDEX(V127:AG127,1,MATCH(Parametres!$B$3,V$1:AG$1,0))*IF(OR(C127="L",C127="S",C127="I"),-1,1)</f>
        <v>0</v>
      </c>
      <c r="AY127" s="487" t="s">
        <v>337</v>
      </c>
      <c r="AZ127" s="487" t="e">
        <f>+VLOOKUP($AJ127,Data_Validation!$A:$E,5,0)</f>
        <v>#N/A</v>
      </c>
    </row>
    <row r="128" spans="36:52" ht="15" customHeight="1">
      <c r="AJ128" s="899">
        <f t="shared" si="4"/>
        <v>0</v>
      </c>
      <c r="AK128" s="899">
        <f t="shared" si="4"/>
        <v>0</v>
      </c>
      <c r="AL128" s="905">
        <f>IFERROR(INDEX(G128:R128,1,MATCH(Parametres!$B$3,G$1:R$1,0)-1)*IF(OR(F128="L",F128="S",F128="I"),-1,1),"")</f>
        <v>0</v>
      </c>
      <c r="AM128" s="905">
        <f t="shared" si="5"/>
        <v>0</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f t="shared" si="6"/>
        <v>0</v>
      </c>
      <c r="AU128" s="488">
        <f t="shared" si="6"/>
        <v>0</v>
      </c>
      <c r="AV128" s="899">
        <f>IFERROR(INDEX(V128:AG128,1,MATCH(Parametres!$B$3,V$1:AG$1,0)-1)*IF(OR(C128="L",C128="S",C128="I"),-1,1),"")</f>
        <v>0</v>
      </c>
      <c r="AW128" s="899">
        <f t="shared" si="7"/>
        <v>0</v>
      </c>
      <c r="AX128" s="899">
        <f>INDEX(V128:AG128,1,MATCH(Parametres!$B$3,V$1:AG$1,0))*IF(OR(C128="L",C128="S",C128="I"),-1,1)</f>
        <v>0</v>
      </c>
      <c r="AY128" s="487" t="s">
        <v>337</v>
      </c>
      <c r="AZ128" s="487" t="e">
        <f>+VLOOKUP($AJ128,Data_Validation!$A:$E,5,0)</f>
        <v>#N/A</v>
      </c>
    </row>
    <row r="129" spans="36:52" ht="15" customHeight="1">
      <c r="AJ129" s="899">
        <f t="shared" si="4"/>
        <v>0</v>
      </c>
      <c r="AK129" s="899">
        <f t="shared" si="4"/>
        <v>0</v>
      </c>
      <c r="AL129" s="905">
        <f>IFERROR(INDEX(G129:R129,1,MATCH(Parametres!$B$3,G$1:R$1,0)-1)*IF(OR(F129="L",F129="S",F129="I"),-1,1),"")</f>
        <v>0</v>
      </c>
      <c r="AM129" s="905">
        <f t="shared" si="5"/>
        <v>0</v>
      </c>
      <c r="AN129" s="905">
        <f>INDEX(G129:R129,1,MATCH(Parametres!$B$3,G$1:R$1,0))*IF(OR(F129="L",F129="S",F129="I"),-1,1)</f>
        <v>0</v>
      </c>
      <c r="AO129" s="487" t="e">
        <f>+VLOOKUP($AJ129,Data_Validation!$A:$D,1,0)</f>
        <v>#N/A</v>
      </c>
      <c r="AP129" s="487" t="e">
        <f>+VLOOKUP($AJ129,Data_Validation!$A:$D,3,0)</f>
        <v>#N/A</v>
      </c>
      <c r="AQ129" s="487" t="e">
        <f>+VLOOKUP($AJ129,Data_Validation!$A:$D,4,0)</f>
        <v>#N/A</v>
      </c>
      <c r="AR129" s="487" t="s">
        <v>299</v>
      </c>
      <c r="AS129" s="487" t="e">
        <f>+VLOOKUP($AJ129,Data_Validation!$A:$E,5,0)</f>
        <v>#N/A</v>
      </c>
      <c r="AT129" s="904">
        <f t="shared" si="6"/>
        <v>0</v>
      </c>
      <c r="AU129" s="488">
        <f t="shared" si="6"/>
        <v>0</v>
      </c>
      <c r="AV129" s="899">
        <f>IFERROR(INDEX(V129:AG129,1,MATCH(Parametres!$B$3,V$1:AG$1,0)-1)*IF(OR(C129="L",C129="S",C129="I"),-1,1),"")</f>
        <v>0</v>
      </c>
      <c r="AW129" s="899">
        <f t="shared" si="7"/>
        <v>0</v>
      </c>
      <c r="AX129" s="899">
        <f>INDEX(V129:AG129,1,MATCH(Parametres!$B$3,V$1:AG$1,0))*IF(OR(C129="L",C129="S",C129="I"),-1,1)</f>
        <v>0</v>
      </c>
      <c r="AY129" s="487" t="s">
        <v>337</v>
      </c>
      <c r="AZ129" s="487" t="e">
        <f>+VLOOKUP($AJ129,Data_Validation!$A:$E,5,0)</f>
        <v>#N/A</v>
      </c>
    </row>
    <row r="130" spans="36:52" ht="15" customHeight="1">
      <c r="AJ130" s="899">
        <f t="shared" si="4"/>
        <v>0</v>
      </c>
      <c r="AK130" s="899">
        <f t="shared" si="4"/>
        <v>0</v>
      </c>
      <c r="AL130" s="905">
        <f>IFERROR(INDEX(G130:R130,1,MATCH(Parametres!$B$3,G$1:R$1,0)-1)*IF(OR(F130="L",F130="S",F130="I"),-1,1),"")</f>
        <v>0</v>
      </c>
      <c r="AM130" s="905">
        <f t="shared" si="5"/>
        <v>0</v>
      </c>
      <c r="AN130" s="905">
        <f>INDEX(G130:R130,1,MATCH(Parametres!$B$3,G$1:R$1,0))*IF(OR(F130="L",F130="S",F130="I"),-1,1)</f>
        <v>0</v>
      </c>
      <c r="AO130" s="487" t="e">
        <f>+VLOOKUP($AJ130,Data_Validation!$A:$D,1,0)</f>
        <v>#N/A</v>
      </c>
      <c r="AP130" s="487" t="e">
        <f>+VLOOKUP($AJ130,Data_Validation!$A:$D,3,0)</f>
        <v>#N/A</v>
      </c>
      <c r="AQ130" s="487" t="e">
        <f>+VLOOKUP($AJ130,Data_Validation!$A:$D,4,0)</f>
        <v>#N/A</v>
      </c>
      <c r="AR130" s="487" t="s">
        <v>299</v>
      </c>
      <c r="AS130" s="487" t="e">
        <f>+VLOOKUP($AJ130,Data_Validation!$A:$E,5,0)</f>
        <v>#N/A</v>
      </c>
      <c r="AT130" s="904">
        <f t="shared" si="6"/>
        <v>0</v>
      </c>
      <c r="AU130" s="488">
        <f t="shared" si="6"/>
        <v>0</v>
      </c>
      <c r="AV130" s="899">
        <f>IFERROR(INDEX(V130:AG130,1,MATCH(Parametres!$B$3,V$1:AG$1,0)-1)*IF(OR(C130="L",C130="S",C130="I"),-1,1),"")</f>
        <v>0</v>
      </c>
      <c r="AW130" s="899">
        <f t="shared" si="7"/>
        <v>0</v>
      </c>
      <c r="AX130" s="899">
        <f>INDEX(V130:AG130,1,MATCH(Parametres!$B$3,V$1:AG$1,0))*IF(OR(C130="L",C130="S",C130="I"),-1,1)</f>
        <v>0</v>
      </c>
      <c r="AY130" s="487" t="s">
        <v>337</v>
      </c>
      <c r="AZ130" s="487" t="e">
        <f>+VLOOKUP($AJ130,Data_Validation!$A:$E,5,0)</f>
        <v>#N/A</v>
      </c>
    </row>
    <row r="131" spans="36:52" ht="15.75" customHeight="1">
      <c r="AJ131" s="899">
        <f t="shared" si="4"/>
        <v>0</v>
      </c>
      <c r="AK131" s="899">
        <f t="shared" si="4"/>
        <v>0</v>
      </c>
      <c r="AL131" s="905">
        <f>IFERROR(INDEX(G131:R131,1,MATCH(Parametres!$B$3,G$1:R$1,0)-1)*IF(OR(F131="L",F131="S",F131="I"),-1,1),"")</f>
        <v>0</v>
      </c>
      <c r="AM131" s="905">
        <f t="shared" si="5"/>
        <v>0</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f t="shared" si="6"/>
        <v>0</v>
      </c>
      <c r="AU131" s="488">
        <f t="shared" si="6"/>
        <v>0</v>
      </c>
      <c r="AV131" s="899">
        <f>IFERROR(INDEX(V131:AG131,1,MATCH(Parametres!$B$3,V$1:AG$1,0)-1)*IF(OR(C131="L",C131="S",C131="I"),-1,1),"")</f>
        <v>0</v>
      </c>
      <c r="AW131" s="899">
        <f t="shared" si="7"/>
        <v>0</v>
      </c>
      <c r="AX131" s="899">
        <f>INDEX(V131:AG131,1,MATCH(Parametres!$B$3,V$1:AG$1,0))*IF(OR(C131="L",C131="S",C131="I"),-1,1)</f>
        <v>0</v>
      </c>
      <c r="AY131" s="487" t="s">
        <v>337</v>
      </c>
      <c r="AZ131" s="487" t="e">
        <f>+VLOOKUP($AJ131,Data_Validation!$A:$E,5,0)</f>
        <v>#N/A</v>
      </c>
    </row>
    <row r="132" spans="36:52" ht="15" customHeight="1">
      <c r="AJ132" s="899">
        <f t="shared" ref="AJ132:AK195" si="8">C132</f>
        <v>0</v>
      </c>
      <c r="AK132" s="899">
        <f t="shared" si="8"/>
        <v>0</v>
      </c>
      <c r="AL132" s="905">
        <f>IFERROR(INDEX(G132:R132,1,MATCH(Parametres!$B$3,G$1:R$1,0)-1)*IF(OR(F132="L",F132="S",F132="I"),-1,1),"")</f>
        <v>0</v>
      </c>
      <c r="AM132" s="905">
        <f t="shared" ref="AM132:AM195" si="9">AN132-AL132</f>
        <v>0</v>
      </c>
      <c r="AN132" s="905">
        <f>INDEX(G132:R132,1,MATCH(Parametres!$B$3,G$1:R$1,0))*IF(OR(F132="L",F132="S",F132="I"),-1,1)</f>
        <v>0</v>
      </c>
      <c r="AO132" s="487" t="e">
        <f>+VLOOKUP($AJ132,Data_Validation!$A:$D,1,0)</f>
        <v>#N/A</v>
      </c>
      <c r="AP132" s="487" t="e">
        <f>+VLOOKUP($AJ132,Data_Validation!$A:$D,3,0)</f>
        <v>#N/A</v>
      </c>
      <c r="AQ132" s="487" t="e">
        <f>+VLOOKUP($AJ132,Data_Validation!$A:$D,4,0)</f>
        <v>#N/A</v>
      </c>
      <c r="AR132" s="487" t="s">
        <v>299</v>
      </c>
      <c r="AS132" s="487" t="e">
        <f>+VLOOKUP($AJ132,Data_Validation!$A:$E,5,0)</f>
        <v>#N/A</v>
      </c>
      <c r="AT132" s="904">
        <f t="shared" ref="AT132:AU195" si="10">C132</f>
        <v>0</v>
      </c>
      <c r="AU132" s="488">
        <f t="shared" si="10"/>
        <v>0</v>
      </c>
      <c r="AV132" s="899">
        <f>IFERROR(INDEX(V132:AG132,1,MATCH(Parametres!$B$3,V$1:AG$1,0)-1)*IF(OR(C132="L",C132="S",C132="I"),-1,1),"")</f>
        <v>0</v>
      </c>
      <c r="AW132" s="899">
        <f t="shared" ref="AW132:AW195" si="11">AX132-AV132</f>
        <v>0</v>
      </c>
      <c r="AX132" s="899">
        <f>INDEX(V132:AG132,1,MATCH(Parametres!$B$3,V$1:AG$1,0))*IF(OR(C132="L",C132="S",C132="I"),-1,1)</f>
        <v>0</v>
      </c>
      <c r="AY132" s="487" t="s">
        <v>337</v>
      </c>
      <c r="AZ132" s="487" t="e">
        <f>+VLOOKUP($AJ132,Data_Validation!$A:$E,5,0)</f>
        <v>#N/A</v>
      </c>
    </row>
    <row r="133" spans="36:52" ht="15" customHeight="1">
      <c r="AJ133" s="899">
        <f t="shared" si="8"/>
        <v>0</v>
      </c>
      <c r="AK133" s="899">
        <f t="shared" si="8"/>
        <v>0</v>
      </c>
      <c r="AL133" s="905">
        <f>IFERROR(INDEX(G133:R133,1,MATCH(Parametres!$B$3,G$1:R$1,0)-1)*IF(OR(F133="L",F133="S",F133="I"),-1,1),"")</f>
        <v>0</v>
      </c>
      <c r="AM133" s="905">
        <f t="shared" si="9"/>
        <v>0</v>
      </c>
      <c r="AN133" s="905">
        <f>INDEX(G133:R133,1,MATCH(Parametres!$B$3,G$1:R$1,0))*IF(OR(F133="L",F133="S",F133="I"),-1,1)</f>
        <v>0</v>
      </c>
      <c r="AO133" s="487" t="e">
        <f>+VLOOKUP($AJ133,Data_Validation!$A:$D,1,0)</f>
        <v>#N/A</v>
      </c>
      <c r="AP133" s="487" t="e">
        <f>+VLOOKUP($AJ133,Data_Validation!$A:$D,3,0)</f>
        <v>#N/A</v>
      </c>
      <c r="AQ133" s="487" t="e">
        <f>+VLOOKUP($AJ133,Data_Validation!$A:$D,4,0)</f>
        <v>#N/A</v>
      </c>
      <c r="AR133" s="487" t="s">
        <v>299</v>
      </c>
      <c r="AS133" s="487" t="e">
        <f>+VLOOKUP($AJ133,Data_Validation!$A:$E,5,0)</f>
        <v>#N/A</v>
      </c>
      <c r="AT133" s="904">
        <f t="shared" si="10"/>
        <v>0</v>
      </c>
      <c r="AU133" s="488">
        <f t="shared" si="10"/>
        <v>0</v>
      </c>
      <c r="AV133" s="899">
        <f>IFERROR(INDEX(V133:AG133,1,MATCH(Parametres!$B$3,V$1:AG$1,0)-1)*IF(OR(C133="L",C133="S",C133="I"),-1,1),"")</f>
        <v>0</v>
      </c>
      <c r="AW133" s="899">
        <f t="shared" si="11"/>
        <v>0</v>
      </c>
      <c r="AX133" s="899">
        <f>INDEX(V133:AG133,1,MATCH(Parametres!$B$3,V$1:AG$1,0))*IF(OR(C133="L",C133="S",C133="I"),-1,1)</f>
        <v>0</v>
      </c>
      <c r="AY133" s="487" t="s">
        <v>337</v>
      </c>
      <c r="AZ133" s="487" t="e">
        <f>+VLOOKUP($AJ133,Data_Validation!$A:$E,5,0)</f>
        <v>#N/A</v>
      </c>
    </row>
    <row r="134" spans="36:52" ht="15" customHeight="1">
      <c r="AJ134" s="899">
        <f t="shared" si="8"/>
        <v>0</v>
      </c>
      <c r="AK134" s="899">
        <f t="shared" si="8"/>
        <v>0</v>
      </c>
      <c r="AL134" s="905">
        <f>IFERROR(INDEX(G134:R134,1,MATCH(Parametres!$B$3,G$1:R$1,0)-1)*IF(OR(F134="L",F134="S",F134="I"),-1,1),"")</f>
        <v>0</v>
      </c>
      <c r="AM134" s="905">
        <f t="shared" si="9"/>
        <v>0</v>
      </c>
      <c r="AN134" s="905">
        <f>INDEX(G134:R134,1,MATCH(Parametres!$B$3,G$1:R$1,0))*IF(OR(F134="L",F134="S",F134="I"),-1,1)</f>
        <v>0</v>
      </c>
      <c r="AO134" s="487" t="e">
        <f>+VLOOKUP($AJ134,Data_Validation!$A:$D,1,0)</f>
        <v>#N/A</v>
      </c>
      <c r="AP134" s="487" t="e">
        <f>+VLOOKUP($AJ134,Data_Validation!$A:$D,3,0)</f>
        <v>#N/A</v>
      </c>
      <c r="AQ134" s="487" t="e">
        <f>+VLOOKUP($AJ134,Data_Validation!$A:$D,4,0)</f>
        <v>#N/A</v>
      </c>
      <c r="AR134" s="487" t="s">
        <v>299</v>
      </c>
      <c r="AS134" s="487" t="e">
        <f>+VLOOKUP($AJ134,Data_Validation!$A:$E,5,0)</f>
        <v>#N/A</v>
      </c>
      <c r="AT134" s="904">
        <f t="shared" si="10"/>
        <v>0</v>
      </c>
      <c r="AU134" s="488">
        <f t="shared" si="10"/>
        <v>0</v>
      </c>
      <c r="AV134" s="899">
        <f>IFERROR(INDEX(V134:AG134,1,MATCH(Parametres!$B$3,V$1:AG$1,0)-1)*IF(OR(C134="L",C134="S",C134="I"),-1,1),"")</f>
        <v>0</v>
      </c>
      <c r="AW134" s="899">
        <f t="shared" si="11"/>
        <v>0</v>
      </c>
      <c r="AX134" s="899">
        <f>INDEX(V134:AG134,1,MATCH(Parametres!$B$3,V$1:AG$1,0))*IF(OR(C134="L",C134="S",C134="I"),-1,1)</f>
        <v>0</v>
      </c>
      <c r="AY134" s="487" t="s">
        <v>337</v>
      </c>
      <c r="AZ134" s="487" t="e">
        <f>+VLOOKUP($AJ134,Data_Validation!$A:$E,5,0)</f>
        <v>#N/A</v>
      </c>
    </row>
    <row r="135" spans="36:52" ht="15.75" customHeight="1">
      <c r="AJ135" s="899">
        <f t="shared" si="8"/>
        <v>0</v>
      </c>
      <c r="AK135" s="899">
        <f t="shared" si="8"/>
        <v>0</v>
      </c>
      <c r="AL135" s="905">
        <f>IFERROR(INDEX(G135:R135,1,MATCH(Parametres!$B$3,G$1:R$1,0)-1)*IF(OR(F135="L",F135="S",F135="I"),-1,1),"")</f>
        <v>0</v>
      </c>
      <c r="AM135" s="905">
        <f t="shared" si="9"/>
        <v>0</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f t="shared" si="10"/>
        <v>0</v>
      </c>
      <c r="AU135" s="488">
        <f t="shared" si="10"/>
        <v>0</v>
      </c>
      <c r="AV135" s="899">
        <f>IFERROR(INDEX(V135:AG135,1,MATCH(Parametres!$B$3,V$1:AG$1,0)-1)*IF(OR(C135="L",C135="S",C135="I"),-1,1),"")</f>
        <v>0</v>
      </c>
      <c r="AW135" s="899">
        <f t="shared" si="11"/>
        <v>0</v>
      </c>
      <c r="AX135" s="899">
        <f>INDEX(V135:AG135,1,MATCH(Parametres!$B$3,V$1:AG$1,0))*IF(OR(C135="L",C135="S",C135="I"),-1,1)</f>
        <v>0</v>
      </c>
      <c r="AY135" s="487" t="s">
        <v>337</v>
      </c>
      <c r="AZ135" s="487" t="e">
        <f>+VLOOKUP($AJ135,Data_Validation!$A:$E,5,0)</f>
        <v>#N/A</v>
      </c>
    </row>
    <row r="136" spans="36:52" ht="15" customHeight="1">
      <c r="AJ136" s="899">
        <f t="shared" si="8"/>
        <v>0</v>
      </c>
      <c r="AK136" s="899">
        <f t="shared" si="8"/>
        <v>0</v>
      </c>
      <c r="AL136" s="905">
        <f>IFERROR(INDEX(G136:R136,1,MATCH(Parametres!$B$3,G$1:R$1,0)-1)*IF(OR(F136="L",F136="S",F136="I"),-1,1),"")</f>
        <v>0</v>
      </c>
      <c r="AM136" s="905">
        <f t="shared" si="9"/>
        <v>0</v>
      </c>
      <c r="AN136" s="905">
        <f>INDEX(G136:R136,1,MATCH(Parametres!$B$3,G$1:R$1,0))*IF(OR(F136="L",F136="S",F136="I"),-1,1)</f>
        <v>0</v>
      </c>
      <c r="AO136" s="487" t="e">
        <f>+VLOOKUP($AJ136,Data_Validation!$A:$D,1,0)</f>
        <v>#N/A</v>
      </c>
      <c r="AP136" s="487" t="e">
        <f>+VLOOKUP($AJ136,Data_Validation!$A:$D,3,0)</f>
        <v>#N/A</v>
      </c>
      <c r="AQ136" s="487" t="e">
        <f>+VLOOKUP($AJ136,Data_Validation!$A:$D,4,0)</f>
        <v>#N/A</v>
      </c>
      <c r="AR136" s="487" t="s">
        <v>299</v>
      </c>
      <c r="AS136" s="487" t="e">
        <f>+VLOOKUP($AJ136,Data_Validation!$A:$E,5,0)</f>
        <v>#N/A</v>
      </c>
      <c r="AT136" s="904">
        <f t="shared" si="10"/>
        <v>0</v>
      </c>
      <c r="AU136" s="488">
        <f t="shared" si="10"/>
        <v>0</v>
      </c>
      <c r="AV136" s="899">
        <f>IFERROR(INDEX(V136:AG136,1,MATCH(Parametres!$B$3,V$1:AG$1,0)-1)*IF(OR(C136="L",C136="S",C136="I"),-1,1),"")</f>
        <v>0</v>
      </c>
      <c r="AW136" s="899">
        <f t="shared" si="11"/>
        <v>0</v>
      </c>
      <c r="AX136" s="899">
        <f>INDEX(V136:AG136,1,MATCH(Parametres!$B$3,V$1:AG$1,0))*IF(OR(C136="L",C136="S",C136="I"),-1,1)</f>
        <v>0</v>
      </c>
      <c r="AY136" s="487" t="s">
        <v>337</v>
      </c>
      <c r="AZ136" s="487" t="e">
        <f>+VLOOKUP($AJ136,Data_Validation!$A:$E,5,0)</f>
        <v>#N/A</v>
      </c>
    </row>
    <row r="137" spans="36:52" ht="15" customHeight="1">
      <c r="AJ137" s="899">
        <f t="shared" si="8"/>
        <v>0</v>
      </c>
      <c r="AK137" s="899">
        <f t="shared" si="8"/>
        <v>0</v>
      </c>
      <c r="AL137" s="905">
        <f>IFERROR(INDEX(G137:R137,1,MATCH(Parametres!$B$3,G$1:R$1,0)-1)*IF(OR(F137="L",F137="S",F137="I"),-1,1),"")</f>
        <v>0</v>
      </c>
      <c r="AM137" s="905">
        <f t="shared" si="9"/>
        <v>0</v>
      </c>
      <c r="AN137" s="905">
        <f>INDEX(G137:R137,1,MATCH(Parametres!$B$3,G$1:R$1,0))*IF(OR(F137="L",F137="S",F137="I"),-1,1)</f>
        <v>0</v>
      </c>
      <c r="AO137" s="487" t="e">
        <f>+VLOOKUP($AJ137,Data_Validation!$A:$D,1,0)</f>
        <v>#N/A</v>
      </c>
      <c r="AP137" s="487" t="e">
        <f>+VLOOKUP($AJ137,Data_Validation!$A:$D,3,0)</f>
        <v>#N/A</v>
      </c>
      <c r="AQ137" s="487" t="e">
        <f>+VLOOKUP($AJ137,Data_Validation!$A:$D,4,0)</f>
        <v>#N/A</v>
      </c>
      <c r="AR137" s="487" t="s">
        <v>299</v>
      </c>
      <c r="AS137" s="487" t="e">
        <f>+VLOOKUP($AJ137,Data_Validation!$A:$E,5,0)</f>
        <v>#N/A</v>
      </c>
      <c r="AT137" s="904">
        <f t="shared" si="10"/>
        <v>0</v>
      </c>
      <c r="AU137" s="488">
        <f t="shared" si="10"/>
        <v>0</v>
      </c>
      <c r="AV137" s="899">
        <f>IFERROR(INDEX(V137:AG137,1,MATCH(Parametres!$B$3,V$1:AG$1,0)-1)*IF(OR(C137="L",C137="S",C137="I"),-1,1),"")</f>
        <v>0</v>
      </c>
      <c r="AW137" s="899">
        <f t="shared" si="11"/>
        <v>0</v>
      </c>
      <c r="AX137" s="899">
        <f>INDEX(V137:AG137,1,MATCH(Parametres!$B$3,V$1:AG$1,0))*IF(OR(C137="L",C137="S",C137="I"),-1,1)</f>
        <v>0</v>
      </c>
      <c r="AY137" s="487" t="s">
        <v>337</v>
      </c>
      <c r="AZ137" s="487" t="e">
        <f>+VLOOKUP($AJ137,Data_Validation!$A:$E,5,0)</f>
        <v>#N/A</v>
      </c>
    </row>
    <row r="138" spans="36:52" ht="15" customHeight="1">
      <c r="AJ138" s="899">
        <f t="shared" si="8"/>
        <v>0</v>
      </c>
      <c r="AK138" s="899">
        <f t="shared" si="8"/>
        <v>0</v>
      </c>
      <c r="AL138" s="905">
        <f>IFERROR(INDEX(G138:R138,1,MATCH(Parametres!$B$3,G$1:R$1,0)-1)*IF(OR(F138="L",F138="S",F138="I"),-1,1),"")</f>
        <v>0</v>
      </c>
      <c r="AM138" s="905">
        <f t="shared" si="9"/>
        <v>0</v>
      </c>
      <c r="AN138" s="905">
        <f>INDEX(G138:R138,1,MATCH(Parametres!$B$3,G$1:R$1,0))*IF(OR(F138="L",F138="S",F138="I"),-1,1)</f>
        <v>0</v>
      </c>
      <c r="AO138" s="487" t="e">
        <f>+VLOOKUP($AJ138,Data_Validation!$A:$D,1,0)</f>
        <v>#N/A</v>
      </c>
      <c r="AP138" s="487" t="e">
        <f>+VLOOKUP($AJ138,Data_Validation!$A:$D,3,0)</f>
        <v>#N/A</v>
      </c>
      <c r="AQ138" s="487" t="e">
        <f>+VLOOKUP($AJ138,Data_Validation!$A:$D,4,0)</f>
        <v>#N/A</v>
      </c>
      <c r="AR138" s="487" t="s">
        <v>299</v>
      </c>
      <c r="AS138" s="487" t="e">
        <f>+VLOOKUP($AJ138,Data_Validation!$A:$E,5,0)</f>
        <v>#N/A</v>
      </c>
      <c r="AT138" s="904">
        <f t="shared" si="10"/>
        <v>0</v>
      </c>
      <c r="AU138" s="488">
        <f t="shared" si="10"/>
        <v>0</v>
      </c>
      <c r="AV138" s="899">
        <f>IFERROR(INDEX(V138:AG138,1,MATCH(Parametres!$B$3,V$1:AG$1,0)-1)*IF(OR(C138="L",C138="S",C138="I"),-1,1),"")</f>
        <v>0</v>
      </c>
      <c r="AW138" s="899">
        <f t="shared" si="11"/>
        <v>0</v>
      </c>
      <c r="AX138" s="899">
        <f>INDEX(V138:AG138,1,MATCH(Parametres!$B$3,V$1:AG$1,0))*IF(OR(C138="L",C138="S",C138="I"),-1,1)</f>
        <v>0</v>
      </c>
      <c r="AY138" s="487" t="s">
        <v>337</v>
      </c>
      <c r="AZ138" s="487" t="e">
        <f>+VLOOKUP($AJ138,Data_Validation!$A:$E,5,0)</f>
        <v>#N/A</v>
      </c>
    </row>
    <row r="139" spans="36:52" ht="15.75" customHeight="1">
      <c r="AJ139" s="899">
        <f t="shared" si="8"/>
        <v>0</v>
      </c>
      <c r="AK139" s="899">
        <f t="shared" si="8"/>
        <v>0</v>
      </c>
      <c r="AL139" s="905">
        <f>IFERROR(INDEX(G139:R139,1,MATCH(Parametres!$B$3,G$1:R$1,0)-1)*IF(OR(F139="L",F139="S",F139="I"),-1,1),"")</f>
        <v>0</v>
      </c>
      <c r="AM139" s="905">
        <f t="shared" si="9"/>
        <v>0</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f t="shared" si="10"/>
        <v>0</v>
      </c>
      <c r="AU139" s="488">
        <f t="shared" si="10"/>
        <v>0</v>
      </c>
      <c r="AV139" s="899">
        <f>IFERROR(INDEX(V139:AG139,1,MATCH(Parametres!$B$3,V$1:AG$1,0)-1)*IF(OR(C139="L",C139="S",C139="I"),-1,1),"")</f>
        <v>0</v>
      </c>
      <c r="AW139" s="899">
        <f t="shared" si="11"/>
        <v>0</v>
      </c>
      <c r="AX139" s="899">
        <f>INDEX(V139:AG139,1,MATCH(Parametres!$B$3,V$1:AG$1,0))*IF(OR(C139="L",C139="S",C139="I"),-1,1)</f>
        <v>0</v>
      </c>
      <c r="AY139" s="487" t="s">
        <v>337</v>
      </c>
      <c r="AZ139" s="487" t="e">
        <f>+VLOOKUP($AJ139,Data_Validation!$A:$E,5,0)</f>
        <v>#N/A</v>
      </c>
    </row>
    <row r="140" spans="36:52" ht="15" customHeight="1">
      <c r="AJ140" s="899">
        <f t="shared" si="8"/>
        <v>0</v>
      </c>
      <c r="AK140" s="899">
        <f t="shared" si="8"/>
        <v>0</v>
      </c>
      <c r="AL140" s="905">
        <f>IFERROR(INDEX(G140:R140,1,MATCH(Parametres!$B$3,G$1:R$1,0)-1)*IF(OR(F140="L",F140="S",F140="I"),-1,1),"")</f>
        <v>0</v>
      </c>
      <c r="AM140" s="905">
        <f t="shared" si="9"/>
        <v>0</v>
      </c>
      <c r="AN140" s="905">
        <f>INDEX(G140:R140,1,MATCH(Parametres!$B$3,G$1:R$1,0))*IF(OR(F140="L",F140="S",F140="I"),-1,1)</f>
        <v>0</v>
      </c>
      <c r="AO140" s="487" t="e">
        <f>+VLOOKUP($AJ140,Data_Validation!$A:$D,1,0)</f>
        <v>#N/A</v>
      </c>
      <c r="AP140" s="487" t="e">
        <f>+VLOOKUP($AJ140,Data_Validation!$A:$D,3,0)</f>
        <v>#N/A</v>
      </c>
      <c r="AQ140" s="487" t="e">
        <f>+VLOOKUP($AJ140,Data_Validation!$A:$D,4,0)</f>
        <v>#N/A</v>
      </c>
      <c r="AR140" s="487" t="s">
        <v>299</v>
      </c>
      <c r="AS140" s="487" t="e">
        <f>+VLOOKUP($AJ140,Data_Validation!$A:$E,5,0)</f>
        <v>#N/A</v>
      </c>
      <c r="AT140" s="904">
        <f t="shared" si="10"/>
        <v>0</v>
      </c>
      <c r="AU140" s="488">
        <f t="shared" si="10"/>
        <v>0</v>
      </c>
      <c r="AV140" s="899">
        <f>IFERROR(INDEX(V140:AG140,1,MATCH(Parametres!$B$3,V$1:AG$1,0)-1)*IF(OR(C140="L",C140="S",C140="I"),-1,1),"")</f>
        <v>0</v>
      </c>
      <c r="AW140" s="899">
        <f t="shared" si="11"/>
        <v>0</v>
      </c>
      <c r="AX140" s="899">
        <f>INDEX(V140:AG140,1,MATCH(Parametres!$B$3,V$1:AG$1,0))*IF(OR(C140="L",C140="S",C140="I"),-1,1)</f>
        <v>0</v>
      </c>
      <c r="AY140" s="487" t="s">
        <v>337</v>
      </c>
      <c r="AZ140" s="487" t="e">
        <f>+VLOOKUP($AJ140,Data_Validation!$A:$E,5,0)</f>
        <v>#N/A</v>
      </c>
    </row>
    <row r="141" spans="36:52" ht="15" customHeight="1">
      <c r="AJ141" s="899">
        <f t="shared" si="8"/>
        <v>0</v>
      </c>
      <c r="AK141" s="899">
        <f t="shared" si="8"/>
        <v>0</v>
      </c>
      <c r="AL141" s="905">
        <f>IFERROR(INDEX(G141:R141,1,MATCH(Parametres!$B$3,G$1:R$1,0)-1)*IF(OR(F141="L",F141="S",F141="I"),-1,1),"")</f>
        <v>0</v>
      </c>
      <c r="AM141" s="905">
        <f t="shared" si="9"/>
        <v>0</v>
      </c>
      <c r="AN141" s="905">
        <f>INDEX(G141:R141,1,MATCH(Parametres!$B$3,G$1:R$1,0))*IF(OR(F141="L",F141="S",F141="I"),-1,1)</f>
        <v>0</v>
      </c>
      <c r="AO141" s="487" t="e">
        <f>+VLOOKUP($AJ141,Data_Validation!$A:$D,1,0)</f>
        <v>#N/A</v>
      </c>
      <c r="AP141" s="487" t="e">
        <f>+VLOOKUP($AJ141,Data_Validation!$A:$D,3,0)</f>
        <v>#N/A</v>
      </c>
      <c r="AQ141" s="487" t="e">
        <f>+VLOOKUP($AJ141,Data_Validation!$A:$D,4,0)</f>
        <v>#N/A</v>
      </c>
      <c r="AR141" s="487" t="s">
        <v>299</v>
      </c>
      <c r="AS141" s="487" t="e">
        <f>+VLOOKUP($AJ141,Data_Validation!$A:$E,5,0)</f>
        <v>#N/A</v>
      </c>
      <c r="AT141" s="904">
        <f t="shared" si="10"/>
        <v>0</v>
      </c>
      <c r="AU141" s="488">
        <f t="shared" si="10"/>
        <v>0</v>
      </c>
      <c r="AV141" s="899">
        <f>IFERROR(INDEX(V141:AG141,1,MATCH(Parametres!$B$3,V$1:AG$1,0)-1)*IF(OR(C141="L",C141="S",C141="I"),-1,1),"")</f>
        <v>0</v>
      </c>
      <c r="AW141" s="899">
        <f t="shared" si="11"/>
        <v>0</v>
      </c>
      <c r="AX141" s="899">
        <f>INDEX(V141:AG141,1,MATCH(Parametres!$B$3,V$1:AG$1,0))*IF(OR(C141="L",C141="S",C141="I"),-1,1)</f>
        <v>0</v>
      </c>
      <c r="AY141" s="487" t="s">
        <v>337</v>
      </c>
      <c r="AZ141" s="487" t="e">
        <f>+VLOOKUP($AJ141,Data_Validation!$A:$E,5,0)</f>
        <v>#N/A</v>
      </c>
    </row>
    <row r="142" spans="36:52" ht="15" customHeight="1">
      <c r="AJ142" s="899">
        <f t="shared" si="8"/>
        <v>0</v>
      </c>
      <c r="AK142" s="899">
        <f t="shared" si="8"/>
        <v>0</v>
      </c>
      <c r="AL142" s="905">
        <f>IFERROR(INDEX(G142:R142,1,MATCH(Parametres!$B$3,G$1:R$1,0)-1)*IF(OR(F142="L",F142="S",F142="I"),-1,1),"")</f>
        <v>0</v>
      </c>
      <c r="AM142" s="905">
        <f t="shared" si="9"/>
        <v>0</v>
      </c>
      <c r="AN142" s="905">
        <f>INDEX(G142:R142,1,MATCH(Parametres!$B$3,G$1:R$1,0))*IF(OR(F142="L",F142="S",F142="I"),-1,1)</f>
        <v>0</v>
      </c>
      <c r="AO142" s="487" t="e">
        <f>+VLOOKUP($AJ142,Data_Validation!$A:$D,1,0)</f>
        <v>#N/A</v>
      </c>
      <c r="AP142" s="487" t="e">
        <f>+VLOOKUP($AJ142,Data_Validation!$A:$D,3,0)</f>
        <v>#N/A</v>
      </c>
      <c r="AQ142" s="487" t="e">
        <f>+VLOOKUP($AJ142,Data_Validation!$A:$D,4,0)</f>
        <v>#N/A</v>
      </c>
      <c r="AR142" s="487" t="s">
        <v>299</v>
      </c>
      <c r="AS142" s="487" t="e">
        <f>+VLOOKUP($AJ142,Data_Validation!$A:$E,5,0)</f>
        <v>#N/A</v>
      </c>
      <c r="AT142" s="904">
        <f t="shared" si="10"/>
        <v>0</v>
      </c>
      <c r="AU142" s="488">
        <f t="shared" si="10"/>
        <v>0</v>
      </c>
      <c r="AV142" s="899">
        <f>IFERROR(INDEX(V142:AG142,1,MATCH(Parametres!$B$3,V$1:AG$1,0)-1)*IF(OR(C142="L",C142="S",C142="I"),-1,1),"")</f>
        <v>0</v>
      </c>
      <c r="AW142" s="899">
        <f t="shared" si="11"/>
        <v>0</v>
      </c>
      <c r="AX142" s="899">
        <f>INDEX(V142:AG142,1,MATCH(Parametres!$B$3,V$1:AG$1,0))*IF(OR(C142="L",C142="S",C142="I"),-1,1)</f>
        <v>0</v>
      </c>
      <c r="AY142" s="487" t="s">
        <v>337</v>
      </c>
      <c r="AZ142" s="487" t="e">
        <f>+VLOOKUP($AJ142,Data_Validation!$A:$E,5,0)</f>
        <v>#N/A</v>
      </c>
    </row>
    <row r="143" spans="36:52" ht="15.75" customHeight="1">
      <c r="AJ143" s="899">
        <f t="shared" si="8"/>
        <v>0</v>
      </c>
      <c r="AK143" s="899">
        <f t="shared" si="8"/>
        <v>0</v>
      </c>
      <c r="AL143" s="905">
        <f>IFERROR(INDEX(G143:R143,1,MATCH(Parametres!$B$3,G$1:R$1,0)-1)*IF(OR(F143="L",F143="S",F143="I"),-1,1),"")</f>
        <v>0</v>
      </c>
      <c r="AM143" s="905">
        <f t="shared" si="9"/>
        <v>0</v>
      </c>
      <c r="AN143" s="905">
        <f>INDEX(G143:R143,1,MATCH(Parametres!$B$3,G$1:R$1,0))*IF(OR(F143="L",F143="S",F143="I"),-1,1)</f>
        <v>0</v>
      </c>
      <c r="AO143" s="487" t="e">
        <f>+VLOOKUP($AJ143,Data_Validation!$A:$D,1,0)</f>
        <v>#N/A</v>
      </c>
      <c r="AP143" s="487" t="e">
        <f>+VLOOKUP($AJ143,Data_Validation!$A:$D,3,0)</f>
        <v>#N/A</v>
      </c>
      <c r="AQ143" s="487" t="e">
        <f>+VLOOKUP($AJ143,Data_Validation!$A:$D,4,0)</f>
        <v>#N/A</v>
      </c>
      <c r="AR143" s="487" t="s">
        <v>299</v>
      </c>
      <c r="AS143" s="487" t="e">
        <f>+VLOOKUP($AJ143,Data_Validation!$A:$E,5,0)</f>
        <v>#N/A</v>
      </c>
      <c r="AT143" s="904">
        <f t="shared" si="10"/>
        <v>0</v>
      </c>
      <c r="AU143" s="488">
        <f t="shared" si="10"/>
        <v>0</v>
      </c>
      <c r="AV143" s="899">
        <f>IFERROR(INDEX(V143:AG143,1,MATCH(Parametres!$B$3,V$1:AG$1,0)-1)*IF(OR(C143="L",C143="S",C143="I"),-1,1),"")</f>
        <v>0</v>
      </c>
      <c r="AW143" s="899">
        <f t="shared" si="11"/>
        <v>0</v>
      </c>
      <c r="AX143" s="899">
        <f>INDEX(V143:AG143,1,MATCH(Parametres!$B$3,V$1:AG$1,0))*IF(OR(C143="L",C143="S",C143="I"),-1,1)</f>
        <v>0</v>
      </c>
      <c r="AY143" s="487" t="s">
        <v>337</v>
      </c>
      <c r="AZ143" s="487" t="e">
        <f>+VLOOKUP($AJ143,Data_Validation!$A:$E,5,0)</f>
        <v>#N/A</v>
      </c>
    </row>
    <row r="144" spans="36:52" ht="15" customHeight="1">
      <c r="AJ144" s="899">
        <f t="shared" si="8"/>
        <v>0</v>
      </c>
      <c r="AK144" s="899">
        <f t="shared" si="8"/>
        <v>0</v>
      </c>
      <c r="AL144" s="905">
        <f>IFERROR(INDEX(G144:R144,1,MATCH(Parametres!$B$3,G$1:R$1,0)-1)*IF(OR(F144="L",F144="S",F144="I"),-1,1),"")</f>
        <v>0</v>
      </c>
      <c r="AM144" s="905">
        <f t="shared" si="9"/>
        <v>0</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f t="shared" si="10"/>
        <v>0</v>
      </c>
      <c r="AU144" s="488">
        <f t="shared" si="10"/>
        <v>0</v>
      </c>
      <c r="AV144" s="899">
        <f>IFERROR(INDEX(V144:AG144,1,MATCH(Parametres!$B$3,V$1:AG$1,0)-1)*IF(OR(C144="L",C144="S",C144="I"),-1,1),"")</f>
        <v>0</v>
      </c>
      <c r="AW144" s="899">
        <f t="shared" si="11"/>
        <v>0</v>
      </c>
      <c r="AX144" s="899">
        <f>INDEX(V144:AG144,1,MATCH(Parametres!$B$3,V$1:AG$1,0))*IF(OR(C144="L",C144="S",C144="I"),-1,1)</f>
        <v>0</v>
      </c>
      <c r="AY144" s="487" t="s">
        <v>337</v>
      </c>
      <c r="AZ144" s="487" t="e">
        <f>+VLOOKUP($AJ144,Data_Validation!$A:$E,5,0)</f>
        <v>#N/A</v>
      </c>
    </row>
    <row r="145" spans="36:52" ht="15" customHeight="1">
      <c r="AJ145" s="899">
        <f t="shared" si="8"/>
        <v>0</v>
      </c>
      <c r="AK145" s="899">
        <f t="shared" si="8"/>
        <v>0</v>
      </c>
      <c r="AL145" s="905">
        <f>IFERROR(INDEX(G145:R145,1,MATCH(Parametres!$B$3,G$1:R$1,0)-1)*IF(OR(F145="L",F145="S",F145="I"),-1,1),"")</f>
        <v>0</v>
      </c>
      <c r="AM145" s="905">
        <f t="shared" si="9"/>
        <v>0</v>
      </c>
      <c r="AN145" s="905">
        <f>INDEX(G145:R145,1,MATCH(Parametres!$B$3,G$1:R$1,0))*IF(OR(F145="L",F145="S",F145="I"),-1,1)</f>
        <v>0</v>
      </c>
      <c r="AO145" s="487" t="e">
        <f>+VLOOKUP($AJ145,Data_Validation!$A:$D,1,0)</f>
        <v>#N/A</v>
      </c>
      <c r="AP145" s="487" t="e">
        <f>+VLOOKUP($AJ145,Data_Validation!$A:$D,3,0)</f>
        <v>#N/A</v>
      </c>
      <c r="AQ145" s="487" t="e">
        <f>+VLOOKUP($AJ145,Data_Validation!$A:$D,4,0)</f>
        <v>#N/A</v>
      </c>
      <c r="AR145" s="487" t="s">
        <v>299</v>
      </c>
      <c r="AS145" s="487" t="e">
        <f>+VLOOKUP($AJ145,Data_Validation!$A:$E,5,0)</f>
        <v>#N/A</v>
      </c>
      <c r="AT145" s="904">
        <f t="shared" si="10"/>
        <v>0</v>
      </c>
      <c r="AU145" s="488">
        <f t="shared" si="10"/>
        <v>0</v>
      </c>
      <c r="AV145" s="899">
        <f>IFERROR(INDEX(V145:AG145,1,MATCH(Parametres!$B$3,V$1:AG$1,0)-1)*IF(OR(C145="L",C145="S",C145="I"),-1,1),"")</f>
        <v>0</v>
      </c>
      <c r="AW145" s="899">
        <f t="shared" si="11"/>
        <v>0</v>
      </c>
      <c r="AX145" s="899">
        <f>INDEX(V145:AG145,1,MATCH(Parametres!$B$3,V$1:AG$1,0))*IF(OR(C145="L",C145="S",C145="I"),-1,1)</f>
        <v>0</v>
      </c>
      <c r="AY145" s="487" t="s">
        <v>337</v>
      </c>
      <c r="AZ145" s="487" t="e">
        <f>+VLOOKUP($AJ145,Data_Validation!$A:$E,5,0)</f>
        <v>#N/A</v>
      </c>
    </row>
    <row r="146" spans="36:52" ht="15" customHeight="1">
      <c r="AJ146" s="899">
        <f t="shared" si="8"/>
        <v>0</v>
      </c>
      <c r="AK146" s="899">
        <f t="shared" si="8"/>
        <v>0</v>
      </c>
      <c r="AL146" s="905">
        <f>IFERROR(INDEX(G146:R146,1,MATCH(Parametres!$B$3,G$1:R$1,0)-1)*IF(OR(F146="L",F146="S",F146="I"),-1,1),"")</f>
        <v>0</v>
      </c>
      <c r="AM146" s="905">
        <f t="shared" si="9"/>
        <v>0</v>
      </c>
      <c r="AN146" s="905">
        <f>INDEX(G146:R146,1,MATCH(Parametres!$B$3,G$1:R$1,0))*IF(OR(F146="L",F146="S",F146="I"),-1,1)</f>
        <v>0</v>
      </c>
      <c r="AO146" s="487" t="e">
        <f>+VLOOKUP($AJ146,Data_Validation!$A:$D,1,0)</f>
        <v>#N/A</v>
      </c>
      <c r="AP146" s="487" t="e">
        <f>+VLOOKUP($AJ146,Data_Validation!$A:$D,3,0)</f>
        <v>#N/A</v>
      </c>
      <c r="AQ146" s="487" t="e">
        <f>+VLOOKUP($AJ146,Data_Validation!$A:$D,4,0)</f>
        <v>#N/A</v>
      </c>
      <c r="AR146" s="487" t="s">
        <v>299</v>
      </c>
      <c r="AS146" s="487" t="e">
        <f>+VLOOKUP($AJ146,Data_Validation!$A:$E,5,0)</f>
        <v>#N/A</v>
      </c>
      <c r="AT146" s="904">
        <f t="shared" si="10"/>
        <v>0</v>
      </c>
      <c r="AU146" s="488">
        <f t="shared" si="10"/>
        <v>0</v>
      </c>
      <c r="AV146" s="899">
        <f>IFERROR(INDEX(V146:AG146,1,MATCH(Parametres!$B$3,V$1:AG$1,0)-1)*IF(OR(C146="L",C146="S",C146="I"),-1,1),"")</f>
        <v>0</v>
      </c>
      <c r="AW146" s="899">
        <f t="shared" si="11"/>
        <v>0</v>
      </c>
      <c r="AX146" s="899">
        <f>INDEX(V146:AG146,1,MATCH(Parametres!$B$3,V$1:AG$1,0))*IF(OR(C146="L",C146="S",C146="I"),-1,1)</f>
        <v>0</v>
      </c>
      <c r="AY146" s="487" t="s">
        <v>337</v>
      </c>
      <c r="AZ146" s="487" t="e">
        <f>+VLOOKUP($AJ146,Data_Validation!$A:$E,5,0)</f>
        <v>#N/A</v>
      </c>
    </row>
    <row r="147" spans="36:52" ht="15" customHeight="1">
      <c r="AJ147" s="899">
        <f t="shared" si="8"/>
        <v>0</v>
      </c>
      <c r="AK147" s="899">
        <f t="shared" si="8"/>
        <v>0</v>
      </c>
      <c r="AL147" s="905">
        <f>IFERROR(INDEX(G147:R147,1,MATCH(Parametres!$B$3,G$1:R$1,0)-1)*IF(OR(F147="L",F147="S",F147="I"),-1,1),"")</f>
        <v>0</v>
      </c>
      <c r="AM147" s="905">
        <f t="shared" si="9"/>
        <v>0</v>
      </c>
      <c r="AN147" s="905">
        <f>INDEX(G147:R147,1,MATCH(Parametres!$B$3,G$1:R$1,0))*IF(OR(F147="L",F147="S",F147="I"),-1,1)</f>
        <v>0</v>
      </c>
      <c r="AO147" s="487" t="e">
        <f>+VLOOKUP($AJ147,Data_Validation!$A:$D,1,0)</f>
        <v>#N/A</v>
      </c>
      <c r="AP147" s="487" t="e">
        <f>+VLOOKUP($AJ147,Data_Validation!$A:$D,3,0)</f>
        <v>#N/A</v>
      </c>
      <c r="AQ147" s="487" t="e">
        <f>+VLOOKUP($AJ147,Data_Validation!$A:$D,4,0)</f>
        <v>#N/A</v>
      </c>
      <c r="AR147" s="487" t="s">
        <v>299</v>
      </c>
      <c r="AS147" s="487" t="e">
        <f>+VLOOKUP($AJ147,Data_Validation!$A:$E,5,0)</f>
        <v>#N/A</v>
      </c>
      <c r="AT147" s="904">
        <f t="shared" si="10"/>
        <v>0</v>
      </c>
      <c r="AU147" s="488">
        <f t="shared" si="10"/>
        <v>0</v>
      </c>
      <c r="AV147" s="899">
        <f>IFERROR(INDEX(V147:AG147,1,MATCH(Parametres!$B$3,V$1:AG$1,0)-1)*IF(OR(C147="L",C147="S",C147="I"),-1,1),"")</f>
        <v>0</v>
      </c>
      <c r="AW147" s="899">
        <f t="shared" si="11"/>
        <v>0</v>
      </c>
      <c r="AX147" s="899">
        <f>INDEX(V147:AG147,1,MATCH(Parametres!$B$3,V$1:AG$1,0))*IF(OR(C147="L",C147="S",C147="I"),-1,1)</f>
        <v>0</v>
      </c>
      <c r="AY147" s="487" t="s">
        <v>337</v>
      </c>
      <c r="AZ147" s="487" t="e">
        <f>+VLOOKUP($AJ147,Data_Validation!$A:$E,5,0)</f>
        <v>#N/A</v>
      </c>
    </row>
    <row r="148" spans="36:52" ht="15" customHeight="1">
      <c r="AJ148" s="899">
        <f t="shared" si="8"/>
        <v>0</v>
      </c>
      <c r="AK148" s="899">
        <f t="shared" si="8"/>
        <v>0</v>
      </c>
      <c r="AL148" s="905">
        <f>IFERROR(INDEX(G148:R148,1,MATCH(Parametres!$B$3,G$1:R$1,0)-1)*IF(OR(F148="L",F148="S",F148="I"),-1,1),"")</f>
        <v>0</v>
      </c>
      <c r="AM148" s="905">
        <f t="shared" si="9"/>
        <v>0</v>
      </c>
      <c r="AN148" s="905">
        <f>INDEX(G148:R148,1,MATCH(Parametres!$B$3,G$1:R$1,0))*IF(OR(F148="L",F148="S",F148="I"),-1,1)</f>
        <v>0</v>
      </c>
      <c r="AO148" s="487" t="e">
        <f>+VLOOKUP($AJ148,Data_Validation!$A:$D,1,0)</f>
        <v>#N/A</v>
      </c>
      <c r="AP148" s="487" t="e">
        <f>+VLOOKUP($AJ148,Data_Validation!$A:$D,3,0)</f>
        <v>#N/A</v>
      </c>
      <c r="AQ148" s="487" t="e">
        <f>+VLOOKUP($AJ148,Data_Validation!$A:$D,4,0)</f>
        <v>#N/A</v>
      </c>
      <c r="AR148" s="487" t="s">
        <v>299</v>
      </c>
      <c r="AS148" s="487" t="e">
        <f>+VLOOKUP($AJ148,Data_Validation!$A:$E,5,0)</f>
        <v>#N/A</v>
      </c>
      <c r="AT148" s="904">
        <f t="shared" si="10"/>
        <v>0</v>
      </c>
      <c r="AU148" s="488">
        <f t="shared" si="10"/>
        <v>0</v>
      </c>
      <c r="AV148" s="899">
        <f>IFERROR(INDEX(V148:AG148,1,MATCH(Parametres!$B$3,V$1:AG$1,0)-1)*IF(OR(C148="L",C148="S",C148="I"),-1,1),"")</f>
        <v>0</v>
      </c>
      <c r="AW148" s="899">
        <f t="shared" si="11"/>
        <v>0</v>
      </c>
      <c r="AX148" s="899">
        <f>INDEX(V148:AG148,1,MATCH(Parametres!$B$3,V$1:AG$1,0))*IF(OR(C148="L",C148="S",C148="I"),-1,1)</f>
        <v>0</v>
      </c>
      <c r="AY148" s="487" t="s">
        <v>337</v>
      </c>
      <c r="AZ148" s="487" t="e">
        <f>+VLOOKUP($AJ148,Data_Validation!$A:$E,5,0)</f>
        <v>#N/A</v>
      </c>
    </row>
    <row r="149" spans="36:52" ht="15" customHeight="1">
      <c r="AJ149" s="899">
        <f t="shared" si="8"/>
        <v>0</v>
      </c>
      <c r="AK149" s="899">
        <f t="shared" si="8"/>
        <v>0</v>
      </c>
      <c r="AL149" s="905">
        <f>IFERROR(INDEX(G149:R149,1,MATCH(Parametres!$B$3,G$1:R$1,0)-1)*IF(OR(F149="L",F149="S",F149="I"),-1,1),"")</f>
        <v>0</v>
      </c>
      <c r="AM149" s="905">
        <f t="shared" si="9"/>
        <v>0</v>
      </c>
      <c r="AN149" s="905">
        <f>INDEX(G149:R149,1,MATCH(Parametres!$B$3,G$1:R$1,0))*IF(OR(F149="L",F149="S",F149="I"),-1,1)</f>
        <v>0</v>
      </c>
      <c r="AO149" s="487" t="e">
        <f>+VLOOKUP($AJ149,Data_Validation!$A:$D,1,0)</f>
        <v>#N/A</v>
      </c>
      <c r="AP149" s="487" t="e">
        <f>+VLOOKUP($AJ149,Data_Validation!$A:$D,3,0)</f>
        <v>#N/A</v>
      </c>
      <c r="AQ149" s="487" t="e">
        <f>+VLOOKUP($AJ149,Data_Validation!$A:$D,4,0)</f>
        <v>#N/A</v>
      </c>
      <c r="AR149" s="487" t="s">
        <v>299</v>
      </c>
      <c r="AS149" s="487" t="e">
        <f>+VLOOKUP($AJ149,Data_Validation!$A:$E,5,0)</f>
        <v>#N/A</v>
      </c>
      <c r="AT149" s="904">
        <f t="shared" si="10"/>
        <v>0</v>
      </c>
      <c r="AU149" s="488">
        <f t="shared" si="10"/>
        <v>0</v>
      </c>
      <c r="AV149" s="899">
        <f>IFERROR(INDEX(V149:AG149,1,MATCH(Parametres!$B$3,V$1:AG$1,0)-1)*IF(OR(C149="L",C149="S",C149="I"),-1,1),"")</f>
        <v>0</v>
      </c>
      <c r="AW149" s="899">
        <f t="shared" si="11"/>
        <v>0</v>
      </c>
      <c r="AX149" s="899">
        <f>INDEX(V149:AG149,1,MATCH(Parametres!$B$3,V$1:AG$1,0))*IF(OR(C149="L",C149="S",C149="I"),-1,1)</f>
        <v>0</v>
      </c>
      <c r="AY149" s="487" t="s">
        <v>337</v>
      </c>
      <c r="AZ149" s="487" t="e">
        <f>+VLOOKUP($AJ149,Data_Validation!$A:$E,5,0)</f>
        <v>#N/A</v>
      </c>
    </row>
    <row r="150" spans="36:52" ht="15" customHeight="1">
      <c r="AJ150" s="899">
        <f t="shared" si="8"/>
        <v>0</v>
      </c>
      <c r="AK150" s="899">
        <f t="shared" si="8"/>
        <v>0</v>
      </c>
      <c r="AL150" s="905">
        <f>IFERROR(INDEX(G150:R150,1,MATCH(Parametres!$B$3,G$1:R$1,0)-1)*IF(OR(F150="L",F150="S",F150="I"),-1,1),"")</f>
        <v>0</v>
      </c>
      <c r="AM150" s="905">
        <f t="shared" si="9"/>
        <v>0</v>
      </c>
      <c r="AN150" s="905">
        <f>INDEX(G150:R150,1,MATCH(Parametres!$B$3,G$1:R$1,0))*IF(OR(F150="L",F150="S",F150="I"),-1,1)</f>
        <v>0</v>
      </c>
      <c r="AO150" s="487" t="e">
        <f>+VLOOKUP($AJ150,Data_Validation!$A:$D,1,0)</f>
        <v>#N/A</v>
      </c>
      <c r="AP150" s="487" t="e">
        <f>+VLOOKUP($AJ150,Data_Validation!$A:$D,3,0)</f>
        <v>#N/A</v>
      </c>
      <c r="AQ150" s="487" t="e">
        <f>+VLOOKUP($AJ150,Data_Validation!$A:$D,4,0)</f>
        <v>#N/A</v>
      </c>
      <c r="AR150" s="487" t="s">
        <v>299</v>
      </c>
      <c r="AS150" s="487" t="e">
        <f>+VLOOKUP($AJ150,Data_Validation!$A:$E,5,0)</f>
        <v>#N/A</v>
      </c>
      <c r="AT150" s="904">
        <f t="shared" si="10"/>
        <v>0</v>
      </c>
      <c r="AU150" s="488">
        <f t="shared" si="10"/>
        <v>0</v>
      </c>
      <c r="AV150" s="899">
        <f>IFERROR(INDEX(V150:AG150,1,MATCH(Parametres!$B$3,V$1:AG$1,0)-1)*IF(OR(C150="L",C150="S",C150="I"),-1,1),"")</f>
        <v>0</v>
      </c>
      <c r="AW150" s="899">
        <f t="shared" si="11"/>
        <v>0</v>
      </c>
      <c r="AX150" s="899">
        <f>INDEX(V150:AG150,1,MATCH(Parametres!$B$3,V$1:AG$1,0))*IF(OR(C150="L",C150="S",C150="I"),-1,1)</f>
        <v>0</v>
      </c>
      <c r="AY150" s="487" t="s">
        <v>337</v>
      </c>
      <c r="AZ150" s="487" t="e">
        <f>+VLOOKUP($AJ150,Data_Validation!$A:$E,5,0)</f>
        <v>#N/A</v>
      </c>
    </row>
    <row r="151" spans="36:52" ht="15.75" customHeight="1">
      <c r="AJ151" s="899">
        <f t="shared" si="8"/>
        <v>0</v>
      </c>
      <c r="AK151" s="899">
        <f t="shared" si="8"/>
        <v>0</v>
      </c>
      <c r="AL151" s="905">
        <f>IFERROR(INDEX(G151:R151,1,MATCH(Parametres!$B$3,G$1:R$1,0)-1)*IF(OR(F151="L",F151="S",F151="I"),-1,1),"")</f>
        <v>0</v>
      </c>
      <c r="AM151" s="905">
        <f t="shared" si="9"/>
        <v>0</v>
      </c>
      <c r="AN151" s="905">
        <f>INDEX(G151:R151,1,MATCH(Parametres!$B$3,G$1:R$1,0))*IF(OR(F151="L",F151="S",F151="I"),-1,1)</f>
        <v>0</v>
      </c>
      <c r="AO151" s="487" t="e">
        <f>+VLOOKUP($AJ151,Data_Validation!$A:$D,1,0)</f>
        <v>#N/A</v>
      </c>
      <c r="AP151" s="487" t="e">
        <f>+VLOOKUP($AJ151,Data_Validation!$A:$D,3,0)</f>
        <v>#N/A</v>
      </c>
      <c r="AQ151" s="487" t="e">
        <f>+VLOOKUP($AJ151,Data_Validation!$A:$D,4,0)</f>
        <v>#N/A</v>
      </c>
      <c r="AR151" s="487" t="s">
        <v>299</v>
      </c>
      <c r="AS151" s="487" t="e">
        <f>+VLOOKUP($AJ151,Data_Validation!$A:$E,5,0)</f>
        <v>#N/A</v>
      </c>
      <c r="AT151" s="904">
        <f t="shared" si="10"/>
        <v>0</v>
      </c>
      <c r="AU151" s="488">
        <f t="shared" si="10"/>
        <v>0</v>
      </c>
      <c r="AV151" s="899">
        <f>IFERROR(INDEX(V151:AG151,1,MATCH(Parametres!$B$3,V$1:AG$1,0)-1)*IF(OR(C151="L",C151="S",C151="I"),-1,1),"")</f>
        <v>0</v>
      </c>
      <c r="AW151" s="899">
        <f t="shared" si="11"/>
        <v>0</v>
      </c>
      <c r="AX151" s="899">
        <f>INDEX(V151:AG151,1,MATCH(Parametres!$B$3,V$1:AG$1,0))*IF(OR(C151="L",C151="S",C151="I"),-1,1)</f>
        <v>0</v>
      </c>
      <c r="AY151" s="487" t="s">
        <v>337</v>
      </c>
      <c r="AZ151" s="487" t="e">
        <f>+VLOOKUP($AJ151,Data_Validation!$A:$E,5,0)</f>
        <v>#N/A</v>
      </c>
    </row>
    <row r="152" spans="36:52" ht="15" customHeight="1">
      <c r="AJ152" s="899">
        <f t="shared" si="8"/>
        <v>0</v>
      </c>
      <c r="AK152" s="899">
        <f t="shared" si="8"/>
        <v>0</v>
      </c>
      <c r="AL152" s="905">
        <f>IFERROR(INDEX(G152:R152,1,MATCH(Parametres!$B$3,G$1:R$1,0)-1)*IF(OR(F152="L",F152="S",F152="I"),-1,1),"")</f>
        <v>0</v>
      </c>
      <c r="AM152" s="905">
        <f t="shared" si="9"/>
        <v>0</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f t="shared" si="10"/>
        <v>0</v>
      </c>
      <c r="AU152" s="488">
        <f t="shared" si="10"/>
        <v>0</v>
      </c>
      <c r="AV152" s="899">
        <f>IFERROR(INDEX(V152:AG152,1,MATCH(Parametres!$B$3,V$1:AG$1,0)-1)*IF(OR(C152="L",C152="S",C152="I"),-1,1),"")</f>
        <v>0</v>
      </c>
      <c r="AW152" s="899">
        <f t="shared" si="11"/>
        <v>0</v>
      </c>
      <c r="AX152" s="899">
        <f>INDEX(V152:AG152,1,MATCH(Parametres!$B$3,V$1:AG$1,0))*IF(OR(C152="L",C152="S",C152="I"),-1,1)</f>
        <v>0</v>
      </c>
      <c r="AY152" s="487" t="s">
        <v>337</v>
      </c>
      <c r="AZ152" s="487" t="e">
        <f>+VLOOKUP($AJ152,Data_Validation!$A:$E,5,0)</f>
        <v>#N/A</v>
      </c>
    </row>
    <row r="153" spans="36:52" ht="15" customHeight="1">
      <c r="AJ153" s="899">
        <f t="shared" si="8"/>
        <v>0</v>
      </c>
      <c r="AK153" s="899">
        <f t="shared" si="8"/>
        <v>0</v>
      </c>
      <c r="AL153" s="905">
        <f>IFERROR(INDEX(G153:R153,1,MATCH(Parametres!$B$3,G$1:R$1,0)-1)*IF(OR(F153="L",F153="S",F153="I"),-1,1),"")</f>
        <v>0</v>
      </c>
      <c r="AM153" s="905">
        <f t="shared" si="9"/>
        <v>0</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f t="shared" si="10"/>
        <v>0</v>
      </c>
      <c r="AU153" s="488">
        <f t="shared" si="10"/>
        <v>0</v>
      </c>
      <c r="AV153" s="899">
        <f>IFERROR(INDEX(V153:AG153,1,MATCH(Parametres!$B$3,V$1:AG$1,0)-1)*IF(OR(C153="L",C153="S",C153="I"),-1,1),"")</f>
        <v>0</v>
      </c>
      <c r="AW153" s="899">
        <f t="shared" si="11"/>
        <v>0</v>
      </c>
      <c r="AX153" s="899">
        <f>INDEX(V153:AG153,1,MATCH(Parametres!$B$3,V$1:AG$1,0))*IF(OR(C153="L",C153="S",C153="I"),-1,1)</f>
        <v>0</v>
      </c>
      <c r="AY153" s="487" t="s">
        <v>337</v>
      </c>
      <c r="AZ153" s="487" t="e">
        <f>+VLOOKUP($AJ153,Data_Validation!$A:$E,5,0)</f>
        <v>#N/A</v>
      </c>
    </row>
    <row r="154" spans="36:52" ht="15" customHeight="1">
      <c r="AJ154" s="899">
        <f t="shared" si="8"/>
        <v>0</v>
      </c>
      <c r="AK154" s="899">
        <f t="shared" si="8"/>
        <v>0</v>
      </c>
      <c r="AL154" s="905">
        <f>IFERROR(INDEX(G154:R154,1,MATCH(Parametres!$B$3,G$1:R$1,0)-1)*IF(OR(F154="L",F154="S",F154="I"),-1,1),"")</f>
        <v>0</v>
      </c>
      <c r="AM154" s="905">
        <f t="shared" si="9"/>
        <v>0</v>
      </c>
      <c r="AN154" s="905">
        <f>INDEX(G154:R154,1,MATCH(Parametres!$B$3,G$1:R$1,0))*IF(OR(F154="L",F154="S",F154="I"),-1,1)</f>
        <v>0</v>
      </c>
      <c r="AO154" s="487" t="e">
        <f>+VLOOKUP($AJ154,Data_Validation!$A:$D,1,0)</f>
        <v>#N/A</v>
      </c>
      <c r="AP154" s="487" t="e">
        <f>+VLOOKUP($AJ154,Data_Validation!$A:$D,3,0)</f>
        <v>#N/A</v>
      </c>
      <c r="AQ154" s="487" t="e">
        <f>+VLOOKUP($AJ154,Data_Validation!$A:$D,4,0)</f>
        <v>#N/A</v>
      </c>
      <c r="AR154" s="487" t="s">
        <v>299</v>
      </c>
      <c r="AS154" s="487" t="e">
        <f>+VLOOKUP($AJ154,Data_Validation!$A:$E,5,0)</f>
        <v>#N/A</v>
      </c>
      <c r="AT154" s="904">
        <f t="shared" si="10"/>
        <v>0</v>
      </c>
      <c r="AU154" s="488">
        <f t="shared" si="10"/>
        <v>0</v>
      </c>
      <c r="AV154" s="899">
        <f>IFERROR(INDEX(V154:AG154,1,MATCH(Parametres!$B$3,V$1:AG$1,0)-1)*IF(OR(C154="L",C154="S",C154="I"),-1,1),"")</f>
        <v>0</v>
      </c>
      <c r="AW154" s="899">
        <f t="shared" si="11"/>
        <v>0</v>
      </c>
      <c r="AX154" s="899">
        <f>INDEX(V154:AG154,1,MATCH(Parametres!$B$3,V$1:AG$1,0))*IF(OR(C154="L",C154="S",C154="I"),-1,1)</f>
        <v>0</v>
      </c>
      <c r="AY154" s="487" t="s">
        <v>337</v>
      </c>
      <c r="AZ154" s="487" t="e">
        <f>+VLOOKUP($AJ154,Data_Validation!$A:$E,5,0)</f>
        <v>#N/A</v>
      </c>
    </row>
    <row r="155" spans="36:52" ht="15.75" customHeight="1">
      <c r="AJ155" s="899">
        <f t="shared" si="8"/>
        <v>0</v>
      </c>
      <c r="AK155" s="899">
        <f t="shared" si="8"/>
        <v>0</v>
      </c>
      <c r="AL155" s="905">
        <f>IFERROR(INDEX(G155:R155,1,MATCH(Parametres!$B$3,G$1:R$1,0)-1)*IF(OR(F155="L",F155="S",F155="I"),-1,1),"")</f>
        <v>0</v>
      </c>
      <c r="AM155" s="905">
        <f t="shared" si="9"/>
        <v>0</v>
      </c>
      <c r="AN155" s="905">
        <f>INDEX(G155:R155,1,MATCH(Parametres!$B$3,G$1:R$1,0))*IF(OR(F155="L",F155="S",F155="I"),-1,1)</f>
        <v>0</v>
      </c>
      <c r="AO155" s="487" t="e">
        <f>+VLOOKUP($AJ155,Data_Validation!$A:$D,1,0)</f>
        <v>#N/A</v>
      </c>
      <c r="AP155" s="487" t="e">
        <f>+VLOOKUP($AJ155,Data_Validation!$A:$D,3,0)</f>
        <v>#N/A</v>
      </c>
      <c r="AQ155" s="487" t="e">
        <f>+VLOOKUP($AJ155,Data_Validation!$A:$D,4,0)</f>
        <v>#N/A</v>
      </c>
      <c r="AR155" s="487" t="s">
        <v>299</v>
      </c>
      <c r="AS155" s="487" t="e">
        <f>+VLOOKUP($AJ155,Data_Validation!$A:$E,5,0)</f>
        <v>#N/A</v>
      </c>
      <c r="AT155" s="904">
        <f t="shared" si="10"/>
        <v>0</v>
      </c>
      <c r="AU155" s="488">
        <f t="shared" si="10"/>
        <v>0</v>
      </c>
      <c r="AV155" s="899">
        <f>IFERROR(INDEX(V155:AG155,1,MATCH(Parametres!$B$3,V$1:AG$1,0)-1)*IF(OR(C155="L",C155="S",C155="I"),-1,1),"")</f>
        <v>0</v>
      </c>
      <c r="AW155" s="899">
        <f t="shared" si="11"/>
        <v>0</v>
      </c>
      <c r="AX155" s="899">
        <f>INDEX(V155:AG155,1,MATCH(Parametres!$B$3,V$1:AG$1,0))*IF(OR(C155="L",C155="S",C155="I"),-1,1)</f>
        <v>0</v>
      </c>
      <c r="AY155" s="487" t="s">
        <v>337</v>
      </c>
      <c r="AZ155" s="487" t="e">
        <f>+VLOOKUP($AJ155,Data_Validation!$A:$E,5,0)</f>
        <v>#N/A</v>
      </c>
    </row>
    <row r="156" spans="36:52" ht="15" customHeight="1">
      <c r="AJ156" s="899">
        <f t="shared" si="8"/>
        <v>0</v>
      </c>
      <c r="AK156" s="899">
        <f t="shared" si="8"/>
        <v>0</v>
      </c>
      <c r="AL156" s="905">
        <f>IFERROR(INDEX(G156:R156,1,MATCH(Parametres!$B$3,G$1:R$1,0)-1)*IF(OR(F156="L",F156="S",F156="I"),-1,1),"")</f>
        <v>0</v>
      </c>
      <c r="AM156" s="905">
        <f t="shared" si="9"/>
        <v>0</v>
      </c>
      <c r="AN156" s="905">
        <f>INDEX(G156:R156,1,MATCH(Parametres!$B$3,G$1:R$1,0))*IF(OR(F156="L",F156="S",F156="I"),-1,1)</f>
        <v>0</v>
      </c>
      <c r="AO156" s="487" t="e">
        <f>+VLOOKUP($AJ156,Data_Validation!$A:$D,1,0)</f>
        <v>#N/A</v>
      </c>
      <c r="AP156" s="487" t="e">
        <f>+VLOOKUP($AJ156,Data_Validation!$A:$D,3,0)</f>
        <v>#N/A</v>
      </c>
      <c r="AQ156" s="487" t="e">
        <f>+VLOOKUP($AJ156,Data_Validation!$A:$D,4,0)</f>
        <v>#N/A</v>
      </c>
      <c r="AR156" s="487" t="s">
        <v>299</v>
      </c>
      <c r="AS156" s="487" t="e">
        <f>+VLOOKUP($AJ156,Data_Validation!$A:$E,5,0)</f>
        <v>#N/A</v>
      </c>
      <c r="AT156" s="904">
        <f t="shared" si="10"/>
        <v>0</v>
      </c>
      <c r="AU156" s="488">
        <f t="shared" si="10"/>
        <v>0</v>
      </c>
      <c r="AV156" s="899">
        <f>IFERROR(INDEX(V156:AG156,1,MATCH(Parametres!$B$3,V$1:AG$1,0)-1)*IF(OR(C156="L",C156="S",C156="I"),-1,1),"")</f>
        <v>0</v>
      </c>
      <c r="AW156" s="899">
        <f t="shared" si="11"/>
        <v>0</v>
      </c>
      <c r="AX156" s="899">
        <f>INDEX(V156:AG156,1,MATCH(Parametres!$B$3,V$1:AG$1,0))*IF(OR(C156="L",C156="S",C156="I"),-1,1)</f>
        <v>0</v>
      </c>
      <c r="AY156" s="487" t="s">
        <v>337</v>
      </c>
      <c r="AZ156" s="487" t="e">
        <f>+VLOOKUP($AJ156,Data_Validation!$A:$E,5,0)</f>
        <v>#N/A</v>
      </c>
    </row>
    <row r="157" spans="36:52" ht="15" customHeight="1">
      <c r="AJ157" s="899">
        <f t="shared" si="8"/>
        <v>0</v>
      </c>
      <c r="AK157" s="899">
        <f t="shared" si="8"/>
        <v>0</v>
      </c>
      <c r="AL157" s="905">
        <f>IFERROR(INDEX(G157:R157,1,MATCH(Parametres!$B$3,G$1:R$1,0)-1)*IF(OR(F157="L",F157="S",F157="I"),-1,1),"")</f>
        <v>0</v>
      </c>
      <c r="AM157" s="905">
        <f t="shared" si="9"/>
        <v>0</v>
      </c>
      <c r="AN157" s="905">
        <f>INDEX(G157:R157,1,MATCH(Parametres!$B$3,G$1:R$1,0))*IF(OR(F157="L",F157="S",F157="I"),-1,1)</f>
        <v>0</v>
      </c>
      <c r="AO157" s="487" t="e">
        <f>+VLOOKUP($AJ157,Data_Validation!$A:$D,1,0)</f>
        <v>#N/A</v>
      </c>
      <c r="AP157" s="487" t="e">
        <f>+VLOOKUP($AJ157,Data_Validation!$A:$D,3,0)</f>
        <v>#N/A</v>
      </c>
      <c r="AQ157" s="487" t="e">
        <f>+VLOOKUP($AJ157,Data_Validation!$A:$D,4,0)</f>
        <v>#N/A</v>
      </c>
      <c r="AR157" s="487" t="s">
        <v>299</v>
      </c>
      <c r="AS157" s="487" t="e">
        <f>+VLOOKUP($AJ157,Data_Validation!$A:$E,5,0)</f>
        <v>#N/A</v>
      </c>
      <c r="AT157" s="904">
        <f t="shared" si="10"/>
        <v>0</v>
      </c>
      <c r="AU157" s="488">
        <f t="shared" si="10"/>
        <v>0</v>
      </c>
      <c r="AV157" s="899">
        <f>IFERROR(INDEX(V157:AG157,1,MATCH(Parametres!$B$3,V$1:AG$1,0)-1)*IF(OR(C157="L",C157="S",C157="I"),-1,1),"")</f>
        <v>0</v>
      </c>
      <c r="AW157" s="899">
        <f t="shared" si="11"/>
        <v>0</v>
      </c>
      <c r="AX157" s="899">
        <f>INDEX(V157:AG157,1,MATCH(Parametres!$B$3,V$1:AG$1,0))*IF(OR(C157="L",C157="S",C157="I"),-1,1)</f>
        <v>0</v>
      </c>
      <c r="AY157" s="487" t="s">
        <v>337</v>
      </c>
      <c r="AZ157" s="487" t="e">
        <f>+VLOOKUP($AJ157,Data_Validation!$A:$E,5,0)</f>
        <v>#N/A</v>
      </c>
    </row>
    <row r="158" spans="36:52" ht="15" customHeight="1">
      <c r="AJ158" s="899">
        <f t="shared" si="8"/>
        <v>0</v>
      </c>
      <c r="AK158" s="899">
        <f t="shared" si="8"/>
        <v>0</v>
      </c>
      <c r="AL158" s="905">
        <f>IFERROR(INDEX(G158:R158,1,MATCH(Parametres!$B$3,G$1:R$1,0)-1)*IF(OR(F158="L",F158="S",F158="I"),-1,1),"")</f>
        <v>0</v>
      </c>
      <c r="AM158" s="905">
        <f t="shared" si="9"/>
        <v>0</v>
      </c>
      <c r="AN158" s="905">
        <f>INDEX(G158:R158,1,MATCH(Parametres!$B$3,G$1:R$1,0))*IF(OR(F158="L",F158="S",F158="I"),-1,1)</f>
        <v>0</v>
      </c>
      <c r="AO158" s="487" t="e">
        <f>+VLOOKUP($AJ158,Data_Validation!$A:$D,1,0)</f>
        <v>#N/A</v>
      </c>
      <c r="AP158" s="487" t="e">
        <f>+VLOOKUP($AJ158,Data_Validation!$A:$D,3,0)</f>
        <v>#N/A</v>
      </c>
      <c r="AQ158" s="487" t="e">
        <f>+VLOOKUP($AJ158,Data_Validation!$A:$D,4,0)</f>
        <v>#N/A</v>
      </c>
      <c r="AR158" s="487" t="s">
        <v>299</v>
      </c>
      <c r="AS158" s="487" t="e">
        <f>+VLOOKUP($AJ158,Data_Validation!$A:$E,5,0)</f>
        <v>#N/A</v>
      </c>
      <c r="AT158" s="904">
        <f t="shared" si="10"/>
        <v>0</v>
      </c>
      <c r="AU158" s="488">
        <f t="shared" si="10"/>
        <v>0</v>
      </c>
      <c r="AV158" s="899">
        <f>IFERROR(INDEX(V158:AG158,1,MATCH(Parametres!$B$3,V$1:AG$1,0)-1)*IF(OR(C158="L",C158="S",C158="I"),-1,1),"")</f>
        <v>0</v>
      </c>
      <c r="AW158" s="899">
        <f t="shared" si="11"/>
        <v>0</v>
      </c>
      <c r="AX158" s="899">
        <f>INDEX(V158:AG158,1,MATCH(Parametres!$B$3,V$1:AG$1,0))*IF(OR(C158="L",C158="S",C158="I"),-1,1)</f>
        <v>0</v>
      </c>
      <c r="AY158" s="487" t="s">
        <v>337</v>
      </c>
      <c r="AZ158" s="487" t="e">
        <f>+VLOOKUP($AJ158,Data_Validation!$A:$E,5,0)</f>
        <v>#N/A</v>
      </c>
    </row>
    <row r="159" spans="36:52" ht="15.75" customHeight="1">
      <c r="AJ159" s="899">
        <f t="shared" si="8"/>
        <v>0</v>
      </c>
      <c r="AK159" s="899">
        <f t="shared" si="8"/>
        <v>0</v>
      </c>
      <c r="AL159" s="905">
        <f>IFERROR(INDEX(G159:R159,1,MATCH(Parametres!$B$3,G$1:R$1,0)-1)*IF(OR(F159="L",F159="S",F159="I"),-1,1),"")</f>
        <v>0</v>
      </c>
      <c r="AM159" s="905">
        <f t="shared" si="9"/>
        <v>0</v>
      </c>
      <c r="AN159" s="905">
        <f>INDEX(G159:R159,1,MATCH(Parametres!$B$3,G$1:R$1,0))*IF(OR(F159="L",F159="S",F159="I"),-1,1)</f>
        <v>0</v>
      </c>
      <c r="AO159" s="487" t="e">
        <f>+VLOOKUP($AJ159,Data_Validation!$A:$D,1,0)</f>
        <v>#N/A</v>
      </c>
      <c r="AP159" s="487" t="e">
        <f>+VLOOKUP($AJ159,Data_Validation!$A:$D,3,0)</f>
        <v>#N/A</v>
      </c>
      <c r="AQ159" s="487" t="e">
        <f>+VLOOKUP($AJ159,Data_Validation!$A:$D,4,0)</f>
        <v>#N/A</v>
      </c>
      <c r="AR159" s="487" t="s">
        <v>299</v>
      </c>
      <c r="AS159" s="487" t="e">
        <f>+VLOOKUP($AJ159,Data_Validation!$A:$E,5,0)</f>
        <v>#N/A</v>
      </c>
      <c r="AT159" s="904">
        <f t="shared" si="10"/>
        <v>0</v>
      </c>
      <c r="AU159" s="488">
        <f t="shared" si="10"/>
        <v>0</v>
      </c>
      <c r="AV159" s="899">
        <f>IFERROR(INDEX(V159:AG159,1,MATCH(Parametres!$B$3,V$1:AG$1,0)-1)*IF(OR(C159="L",C159="S",C159="I"),-1,1),"")</f>
        <v>0</v>
      </c>
      <c r="AW159" s="899">
        <f t="shared" si="11"/>
        <v>0</v>
      </c>
      <c r="AX159" s="899">
        <f>INDEX(V159:AG159,1,MATCH(Parametres!$B$3,V$1:AG$1,0))*IF(OR(C159="L",C159="S",C159="I"),-1,1)</f>
        <v>0</v>
      </c>
      <c r="AY159" s="487" t="s">
        <v>337</v>
      </c>
      <c r="AZ159" s="487" t="e">
        <f>+VLOOKUP($AJ159,Data_Validation!$A:$E,5,0)</f>
        <v>#N/A</v>
      </c>
    </row>
    <row r="160" spans="36:52" ht="15" customHeight="1">
      <c r="AJ160" s="899">
        <f t="shared" si="8"/>
        <v>0</v>
      </c>
      <c r="AK160" s="899">
        <f t="shared" si="8"/>
        <v>0</v>
      </c>
      <c r="AL160" s="905">
        <f>IFERROR(INDEX(G160:R160,1,MATCH(Parametres!$B$3,G$1:R$1,0)-1)*IF(OR(F160="L",F160="S",F160="I"),-1,1),"")</f>
        <v>0</v>
      </c>
      <c r="AM160" s="905">
        <f t="shared" si="9"/>
        <v>0</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f t="shared" si="10"/>
        <v>0</v>
      </c>
      <c r="AU160" s="488">
        <f t="shared" si="10"/>
        <v>0</v>
      </c>
      <c r="AV160" s="899">
        <f>IFERROR(INDEX(V160:AG160,1,MATCH(Parametres!$B$3,V$1:AG$1,0)-1)*IF(OR(C160="L",C160="S",C160="I"),-1,1),"")</f>
        <v>0</v>
      </c>
      <c r="AW160" s="899">
        <f t="shared" si="11"/>
        <v>0</v>
      </c>
      <c r="AX160" s="899">
        <f>INDEX(V160:AG160,1,MATCH(Parametres!$B$3,V$1:AG$1,0))*IF(OR(C160="L",C160="S",C160="I"),-1,1)</f>
        <v>0</v>
      </c>
      <c r="AY160" s="487" t="s">
        <v>337</v>
      </c>
      <c r="AZ160" s="487" t="e">
        <f>+VLOOKUP($AJ160,Data_Validation!$A:$E,5,0)</f>
        <v>#N/A</v>
      </c>
    </row>
    <row r="161" spans="36:52" ht="15" customHeight="1">
      <c r="AJ161" s="899">
        <f t="shared" si="8"/>
        <v>0</v>
      </c>
      <c r="AK161" s="899">
        <f t="shared" si="8"/>
        <v>0</v>
      </c>
      <c r="AL161" s="905">
        <f>IFERROR(INDEX(G161:R161,1,MATCH(Parametres!$B$3,G$1:R$1,0)-1)*IF(OR(F161="L",F161="S",F161="I"),-1,1),"")</f>
        <v>0</v>
      </c>
      <c r="AM161" s="905">
        <f t="shared" si="9"/>
        <v>0</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f t="shared" si="10"/>
        <v>0</v>
      </c>
      <c r="AU161" s="488">
        <f t="shared" si="10"/>
        <v>0</v>
      </c>
      <c r="AV161" s="899">
        <f>IFERROR(INDEX(V161:AG161,1,MATCH(Parametres!$B$3,V$1:AG$1,0)-1)*IF(OR(C161="L",C161="S",C161="I"),-1,1),"")</f>
        <v>0</v>
      </c>
      <c r="AW161" s="899">
        <f t="shared" si="11"/>
        <v>0</v>
      </c>
      <c r="AX161" s="899">
        <f>INDEX(V161:AG161,1,MATCH(Parametres!$B$3,V$1:AG$1,0))*IF(OR(C161="L",C161="S",C161="I"),-1,1)</f>
        <v>0</v>
      </c>
      <c r="AY161" s="487" t="s">
        <v>337</v>
      </c>
      <c r="AZ161" s="487" t="e">
        <f>+VLOOKUP($AJ161,Data_Validation!$A:$E,5,0)</f>
        <v>#N/A</v>
      </c>
    </row>
    <row r="162" spans="36:52" ht="15" customHeight="1">
      <c r="AJ162" s="899">
        <f t="shared" si="8"/>
        <v>0</v>
      </c>
      <c r="AK162" s="899">
        <f t="shared" si="8"/>
        <v>0</v>
      </c>
      <c r="AL162" s="905">
        <f>IFERROR(INDEX(G162:R162,1,MATCH(Parametres!$B$3,G$1:R$1,0)-1)*IF(OR(F162="L",F162="S",F162="I"),-1,1),"")</f>
        <v>0</v>
      </c>
      <c r="AM162" s="905">
        <f t="shared" si="9"/>
        <v>0</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f t="shared" si="10"/>
        <v>0</v>
      </c>
      <c r="AU162" s="488">
        <f t="shared" si="10"/>
        <v>0</v>
      </c>
      <c r="AV162" s="899">
        <f>IFERROR(INDEX(V162:AG162,1,MATCH(Parametres!$B$3,V$1:AG$1,0)-1)*IF(OR(C162="L",C162="S",C162="I"),-1,1),"")</f>
        <v>0</v>
      </c>
      <c r="AW162" s="899">
        <f t="shared" si="11"/>
        <v>0</v>
      </c>
      <c r="AX162" s="899">
        <f>INDEX(V162:AG162,1,MATCH(Parametres!$B$3,V$1:AG$1,0))*IF(OR(C162="L",C162="S",C162="I"),-1,1)</f>
        <v>0</v>
      </c>
      <c r="AY162" s="487" t="s">
        <v>337</v>
      </c>
      <c r="AZ162" s="487" t="e">
        <f>+VLOOKUP($AJ162,Data_Validation!$A:$E,5,0)</f>
        <v>#N/A</v>
      </c>
    </row>
    <row r="163" spans="36:52" ht="15.75" customHeight="1">
      <c r="AJ163" s="899">
        <f t="shared" si="8"/>
        <v>0</v>
      </c>
      <c r="AK163" s="899">
        <f t="shared" si="8"/>
        <v>0</v>
      </c>
      <c r="AL163" s="905">
        <f>IFERROR(INDEX(G163:R163,1,MATCH(Parametres!$B$3,G$1:R$1,0)-1)*IF(OR(F163="L",F163="S",F163="I"),-1,1),"")</f>
        <v>0</v>
      </c>
      <c r="AM163" s="905">
        <f t="shared" si="9"/>
        <v>0</v>
      </c>
      <c r="AN163" s="905">
        <f>INDEX(G163:R163,1,MATCH(Parametres!$B$3,G$1:R$1,0))*IF(OR(F163="L",F163="S",F163="I"),-1,1)</f>
        <v>0</v>
      </c>
      <c r="AO163" s="487" t="e">
        <f>+VLOOKUP($AJ163,Data_Validation!$A:$D,1,0)</f>
        <v>#N/A</v>
      </c>
      <c r="AP163" s="487" t="e">
        <f>+VLOOKUP($AJ163,Data_Validation!$A:$D,3,0)</f>
        <v>#N/A</v>
      </c>
      <c r="AQ163" s="487" t="e">
        <f>+VLOOKUP($AJ163,Data_Validation!$A:$D,4,0)</f>
        <v>#N/A</v>
      </c>
      <c r="AR163" s="487" t="s">
        <v>299</v>
      </c>
      <c r="AS163" s="487" t="e">
        <f>+VLOOKUP($AJ163,Data_Validation!$A:$E,5,0)</f>
        <v>#N/A</v>
      </c>
      <c r="AT163" s="904">
        <f t="shared" si="10"/>
        <v>0</v>
      </c>
      <c r="AU163" s="488">
        <f t="shared" si="10"/>
        <v>0</v>
      </c>
      <c r="AV163" s="899">
        <f>IFERROR(INDEX(V163:AG163,1,MATCH(Parametres!$B$3,V$1:AG$1,0)-1)*IF(OR(C163="L",C163="S",C163="I"),-1,1),"")</f>
        <v>0</v>
      </c>
      <c r="AW163" s="899">
        <f t="shared" si="11"/>
        <v>0</v>
      </c>
      <c r="AX163" s="899">
        <f>INDEX(V163:AG163,1,MATCH(Parametres!$B$3,V$1:AG$1,0))*IF(OR(C163="L",C163="S",C163="I"),-1,1)</f>
        <v>0</v>
      </c>
      <c r="AY163" s="487" t="s">
        <v>337</v>
      </c>
      <c r="AZ163" s="487" t="e">
        <f>+VLOOKUP($AJ163,Data_Validation!$A:$E,5,0)</f>
        <v>#N/A</v>
      </c>
    </row>
    <row r="164" spans="36:52" ht="15" customHeight="1">
      <c r="AJ164" s="899">
        <f t="shared" si="8"/>
        <v>0</v>
      </c>
      <c r="AK164" s="899">
        <f t="shared" si="8"/>
        <v>0</v>
      </c>
      <c r="AL164" s="905">
        <f>IFERROR(INDEX(G164:R164,1,MATCH(Parametres!$B$3,G$1:R$1,0)-1)*IF(OR(F164="L",F164="S",F164="I"),-1,1),"")</f>
        <v>0</v>
      </c>
      <c r="AM164" s="905">
        <f t="shared" si="9"/>
        <v>0</v>
      </c>
      <c r="AN164" s="905">
        <f>INDEX(G164:R164,1,MATCH(Parametres!$B$3,G$1:R$1,0))*IF(OR(F164="L",F164="S",F164="I"),-1,1)</f>
        <v>0</v>
      </c>
      <c r="AO164" s="487" t="e">
        <f>+VLOOKUP($AJ164,Data_Validation!$A:$D,1,0)</f>
        <v>#N/A</v>
      </c>
      <c r="AP164" s="487" t="e">
        <f>+VLOOKUP($AJ164,Data_Validation!$A:$D,3,0)</f>
        <v>#N/A</v>
      </c>
      <c r="AQ164" s="487" t="e">
        <f>+VLOOKUP($AJ164,Data_Validation!$A:$D,4,0)</f>
        <v>#N/A</v>
      </c>
      <c r="AR164" s="487" t="s">
        <v>299</v>
      </c>
      <c r="AS164" s="487" t="e">
        <f>+VLOOKUP($AJ164,Data_Validation!$A:$E,5,0)</f>
        <v>#N/A</v>
      </c>
      <c r="AT164" s="904">
        <f t="shared" si="10"/>
        <v>0</v>
      </c>
      <c r="AU164" s="488">
        <f t="shared" si="10"/>
        <v>0</v>
      </c>
      <c r="AV164" s="899">
        <f>IFERROR(INDEX(V164:AG164,1,MATCH(Parametres!$B$3,V$1:AG$1,0)-1)*IF(OR(C164="L",C164="S",C164="I"),-1,1),"")</f>
        <v>0</v>
      </c>
      <c r="AW164" s="899">
        <f t="shared" si="11"/>
        <v>0</v>
      </c>
      <c r="AX164" s="899">
        <f>INDEX(V164:AG164,1,MATCH(Parametres!$B$3,V$1:AG$1,0))*IF(OR(C164="L",C164="S",C164="I"),-1,1)</f>
        <v>0</v>
      </c>
      <c r="AY164" s="487" t="s">
        <v>337</v>
      </c>
      <c r="AZ164" s="487" t="e">
        <f>+VLOOKUP($AJ164,Data_Validation!$A:$E,5,0)</f>
        <v>#N/A</v>
      </c>
    </row>
    <row r="165" spans="36:52" ht="15" customHeight="1">
      <c r="AJ165" s="899">
        <f t="shared" si="8"/>
        <v>0</v>
      </c>
      <c r="AK165" s="899">
        <f t="shared" si="8"/>
        <v>0</v>
      </c>
      <c r="AL165" s="905">
        <f>IFERROR(INDEX(G165:R165,1,MATCH(Parametres!$B$3,G$1:R$1,0)-1)*IF(OR(F165="L",F165="S",F165="I"),-1,1),"")</f>
        <v>0</v>
      </c>
      <c r="AM165" s="905">
        <f t="shared" si="9"/>
        <v>0</v>
      </c>
      <c r="AN165" s="905">
        <f>INDEX(G165:R165,1,MATCH(Parametres!$B$3,G$1:R$1,0))*IF(OR(F165="L",F165="S",F165="I"),-1,1)</f>
        <v>0</v>
      </c>
      <c r="AO165" s="487" t="e">
        <f>+VLOOKUP($AJ165,Data_Validation!$A:$D,1,0)</f>
        <v>#N/A</v>
      </c>
      <c r="AP165" s="487" t="e">
        <f>+VLOOKUP($AJ165,Data_Validation!$A:$D,3,0)</f>
        <v>#N/A</v>
      </c>
      <c r="AQ165" s="487" t="e">
        <f>+VLOOKUP($AJ165,Data_Validation!$A:$D,4,0)</f>
        <v>#N/A</v>
      </c>
      <c r="AR165" s="487" t="s">
        <v>299</v>
      </c>
      <c r="AS165" s="487" t="e">
        <f>+VLOOKUP($AJ165,Data_Validation!$A:$E,5,0)</f>
        <v>#N/A</v>
      </c>
      <c r="AT165" s="904">
        <f t="shared" si="10"/>
        <v>0</v>
      </c>
      <c r="AU165" s="488">
        <f t="shared" si="10"/>
        <v>0</v>
      </c>
      <c r="AV165" s="899">
        <f>IFERROR(INDEX(V165:AG165,1,MATCH(Parametres!$B$3,V$1:AG$1,0)-1)*IF(OR(C165="L",C165="S",C165="I"),-1,1),"")</f>
        <v>0</v>
      </c>
      <c r="AW165" s="899">
        <f t="shared" si="11"/>
        <v>0</v>
      </c>
      <c r="AX165" s="899">
        <f>INDEX(V165:AG165,1,MATCH(Parametres!$B$3,V$1:AG$1,0))*IF(OR(C165="L",C165="S",C165="I"),-1,1)</f>
        <v>0</v>
      </c>
      <c r="AY165" s="487" t="s">
        <v>337</v>
      </c>
      <c r="AZ165" s="487" t="e">
        <f>+VLOOKUP($AJ165,Data_Validation!$A:$E,5,0)</f>
        <v>#N/A</v>
      </c>
    </row>
    <row r="166" spans="36:52" ht="15" customHeight="1">
      <c r="AJ166" s="899">
        <f t="shared" si="8"/>
        <v>0</v>
      </c>
      <c r="AK166" s="899">
        <f t="shared" si="8"/>
        <v>0</v>
      </c>
      <c r="AL166" s="905">
        <f>IFERROR(INDEX(G166:R166,1,MATCH(Parametres!$B$3,G$1:R$1,0)-1)*IF(OR(F166="L",F166="S",F166="I"),-1,1),"")</f>
        <v>0</v>
      </c>
      <c r="AM166" s="905">
        <f t="shared" si="9"/>
        <v>0</v>
      </c>
      <c r="AN166" s="905">
        <f>INDEX(G166:R166,1,MATCH(Parametres!$B$3,G$1:R$1,0))*IF(OR(F166="L",F166="S",F166="I"),-1,1)</f>
        <v>0</v>
      </c>
      <c r="AO166" s="487" t="e">
        <f>+VLOOKUP($AJ166,Data_Validation!$A:$D,1,0)</f>
        <v>#N/A</v>
      </c>
      <c r="AP166" s="487" t="e">
        <f>+VLOOKUP($AJ166,Data_Validation!$A:$D,3,0)</f>
        <v>#N/A</v>
      </c>
      <c r="AQ166" s="487" t="e">
        <f>+VLOOKUP($AJ166,Data_Validation!$A:$D,4,0)</f>
        <v>#N/A</v>
      </c>
      <c r="AR166" s="487" t="s">
        <v>299</v>
      </c>
      <c r="AS166" s="487" t="e">
        <f>+VLOOKUP($AJ166,Data_Validation!$A:$E,5,0)</f>
        <v>#N/A</v>
      </c>
      <c r="AT166" s="904">
        <f t="shared" si="10"/>
        <v>0</v>
      </c>
      <c r="AU166" s="488">
        <f t="shared" si="10"/>
        <v>0</v>
      </c>
      <c r="AV166" s="899">
        <f>IFERROR(INDEX(V166:AG166,1,MATCH(Parametres!$B$3,V$1:AG$1,0)-1)*IF(OR(C166="L",C166="S",C166="I"),-1,1),"")</f>
        <v>0</v>
      </c>
      <c r="AW166" s="899">
        <f t="shared" si="11"/>
        <v>0</v>
      </c>
      <c r="AX166" s="899">
        <f>INDEX(V166:AG166,1,MATCH(Parametres!$B$3,V$1:AG$1,0))*IF(OR(C166="L",C166="S",C166="I"),-1,1)</f>
        <v>0</v>
      </c>
      <c r="AY166" s="487" t="s">
        <v>337</v>
      </c>
      <c r="AZ166" s="487" t="e">
        <f>+VLOOKUP($AJ166,Data_Validation!$A:$E,5,0)</f>
        <v>#N/A</v>
      </c>
    </row>
    <row r="167" spans="36:52" ht="15" customHeight="1">
      <c r="AJ167" s="899">
        <f t="shared" si="8"/>
        <v>0</v>
      </c>
      <c r="AK167" s="899">
        <f t="shared" si="8"/>
        <v>0</v>
      </c>
      <c r="AL167" s="905">
        <f>IFERROR(INDEX(G167:R167,1,MATCH(Parametres!$B$3,G$1:R$1,0)-1)*IF(OR(F167="L",F167="S",F167="I"),-1,1),"")</f>
        <v>0</v>
      </c>
      <c r="AM167" s="905">
        <f t="shared" si="9"/>
        <v>0</v>
      </c>
      <c r="AN167" s="905">
        <f>INDEX(G167:R167,1,MATCH(Parametres!$B$3,G$1:R$1,0))*IF(OR(F167="L",F167="S",F167="I"),-1,1)</f>
        <v>0</v>
      </c>
      <c r="AO167" s="487" t="e">
        <f>+VLOOKUP($AJ167,Data_Validation!$A:$D,1,0)</f>
        <v>#N/A</v>
      </c>
      <c r="AP167" s="487" t="e">
        <f>+VLOOKUP($AJ167,Data_Validation!$A:$D,3,0)</f>
        <v>#N/A</v>
      </c>
      <c r="AQ167" s="487" t="e">
        <f>+VLOOKUP($AJ167,Data_Validation!$A:$D,4,0)</f>
        <v>#N/A</v>
      </c>
      <c r="AR167" s="487" t="s">
        <v>299</v>
      </c>
      <c r="AS167" s="487" t="e">
        <f>+VLOOKUP($AJ167,Data_Validation!$A:$E,5,0)</f>
        <v>#N/A</v>
      </c>
      <c r="AT167" s="904">
        <f t="shared" si="10"/>
        <v>0</v>
      </c>
      <c r="AU167" s="488">
        <f t="shared" si="10"/>
        <v>0</v>
      </c>
      <c r="AV167" s="899">
        <f>IFERROR(INDEX(V167:AG167,1,MATCH(Parametres!$B$3,V$1:AG$1,0)-1)*IF(OR(C167="L",C167="S",C167="I"),-1,1),"")</f>
        <v>0</v>
      </c>
      <c r="AW167" s="899">
        <f t="shared" si="11"/>
        <v>0</v>
      </c>
      <c r="AX167" s="899">
        <f>INDEX(V167:AG167,1,MATCH(Parametres!$B$3,V$1:AG$1,0))*IF(OR(C167="L",C167="S",C167="I"),-1,1)</f>
        <v>0</v>
      </c>
      <c r="AY167" s="487" t="s">
        <v>337</v>
      </c>
      <c r="AZ167" s="487" t="e">
        <f>+VLOOKUP($AJ167,Data_Validation!$A:$E,5,0)</f>
        <v>#N/A</v>
      </c>
    </row>
    <row r="168" spans="36:52" ht="15.75" customHeight="1">
      <c r="AJ168" s="899">
        <f t="shared" si="8"/>
        <v>0</v>
      </c>
      <c r="AK168" s="899">
        <f t="shared" si="8"/>
        <v>0</v>
      </c>
      <c r="AL168" s="905">
        <f>IFERROR(INDEX(G168:R168,1,MATCH(Parametres!$B$3,G$1:R$1,0)-1)*IF(OR(F168="L",F168="S",F168="I"),-1,1),"")</f>
        <v>0</v>
      </c>
      <c r="AM168" s="905">
        <f t="shared" si="9"/>
        <v>0</v>
      </c>
      <c r="AN168" s="905">
        <f>INDEX(G168:R168,1,MATCH(Parametres!$B$3,G$1:R$1,0))*IF(OR(F168="L",F168="S",F168="I"),-1,1)</f>
        <v>0</v>
      </c>
      <c r="AO168" s="487" t="e">
        <f>+VLOOKUP($AJ168,Data_Validation!$A:$D,1,0)</f>
        <v>#N/A</v>
      </c>
      <c r="AP168" s="487" t="e">
        <f>+VLOOKUP($AJ168,Data_Validation!$A:$D,3,0)</f>
        <v>#N/A</v>
      </c>
      <c r="AQ168" s="487" t="e">
        <f>+VLOOKUP($AJ168,Data_Validation!$A:$D,4,0)</f>
        <v>#N/A</v>
      </c>
      <c r="AR168" s="487" t="s">
        <v>299</v>
      </c>
      <c r="AS168" s="487" t="e">
        <f>+VLOOKUP($AJ168,Data_Validation!$A:$E,5,0)</f>
        <v>#N/A</v>
      </c>
      <c r="AT168" s="904">
        <f t="shared" si="10"/>
        <v>0</v>
      </c>
      <c r="AU168" s="488">
        <f t="shared" si="10"/>
        <v>0</v>
      </c>
      <c r="AV168" s="899">
        <f>IFERROR(INDEX(V168:AG168,1,MATCH(Parametres!$B$3,V$1:AG$1,0)-1)*IF(OR(C168="L",C168="S",C168="I"),-1,1),"")</f>
        <v>0</v>
      </c>
      <c r="AW168" s="899">
        <f t="shared" si="11"/>
        <v>0</v>
      </c>
      <c r="AX168" s="899">
        <f>INDEX(V168:AG168,1,MATCH(Parametres!$B$3,V$1:AG$1,0))*IF(OR(C168="L",C168="S",C168="I"),-1,1)</f>
        <v>0</v>
      </c>
      <c r="AY168" s="487" t="s">
        <v>337</v>
      </c>
      <c r="AZ168" s="487" t="e">
        <f>+VLOOKUP($AJ168,Data_Validation!$A:$E,5,0)</f>
        <v>#N/A</v>
      </c>
    </row>
    <row r="169" spans="36:52" ht="15" customHeight="1">
      <c r="AJ169" s="899">
        <f t="shared" si="8"/>
        <v>0</v>
      </c>
      <c r="AK169" s="899">
        <f t="shared" si="8"/>
        <v>0</v>
      </c>
      <c r="AL169" s="905">
        <f>IFERROR(INDEX(G169:R169,1,MATCH(Parametres!$B$3,G$1:R$1,0)-1)*IF(OR(F169="L",F169="S",F169="I"),-1,1),"")</f>
        <v>0</v>
      </c>
      <c r="AM169" s="905">
        <f t="shared" si="9"/>
        <v>0</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f t="shared" si="10"/>
        <v>0</v>
      </c>
      <c r="AU169" s="488">
        <f t="shared" si="10"/>
        <v>0</v>
      </c>
      <c r="AV169" s="899">
        <f>IFERROR(INDEX(V169:AG169,1,MATCH(Parametres!$B$3,V$1:AG$1,0)-1)*IF(OR(C169="L",C169="S",C169="I"),-1,1),"")</f>
        <v>0</v>
      </c>
      <c r="AW169" s="899">
        <f t="shared" si="11"/>
        <v>0</v>
      </c>
      <c r="AX169" s="899">
        <f>INDEX(V169:AG169,1,MATCH(Parametres!$B$3,V$1:AG$1,0))*IF(OR(C169="L",C169="S",C169="I"),-1,1)</f>
        <v>0</v>
      </c>
      <c r="AY169" s="487" t="s">
        <v>337</v>
      </c>
      <c r="AZ169" s="487" t="e">
        <f>+VLOOKUP($AJ169,Data_Validation!$A:$E,5,0)</f>
        <v>#N/A</v>
      </c>
    </row>
    <row r="170" spans="36:52" ht="15" customHeight="1">
      <c r="AJ170" s="899">
        <f t="shared" si="8"/>
        <v>0</v>
      </c>
      <c r="AK170" s="899">
        <f t="shared" si="8"/>
        <v>0</v>
      </c>
      <c r="AL170" s="905">
        <f>IFERROR(INDEX(G170:R170,1,MATCH(Parametres!$B$3,G$1:R$1,0)-1)*IF(OR(F170="L",F170="S",F170="I"),-1,1),"")</f>
        <v>0</v>
      </c>
      <c r="AM170" s="905">
        <f t="shared" si="9"/>
        <v>0</v>
      </c>
      <c r="AN170" s="905">
        <f>INDEX(G170:R170,1,MATCH(Parametres!$B$3,G$1:R$1,0))*IF(OR(F170="L",F170="S",F170="I"),-1,1)</f>
        <v>0</v>
      </c>
      <c r="AO170" s="487" t="e">
        <f>+VLOOKUP($AJ170,Data_Validation!$A:$D,1,0)</f>
        <v>#N/A</v>
      </c>
      <c r="AP170" s="487" t="e">
        <f>+VLOOKUP($AJ170,Data_Validation!$A:$D,3,0)</f>
        <v>#N/A</v>
      </c>
      <c r="AQ170" s="487" t="e">
        <f>+VLOOKUP($AJ170,Data_Validation!$A:$D,4,0)</f>
        <v>#N/A</v>
      </c>
      <c r="AR170" s="487" t="s">
        <v>299</v>
      </c>
      <c r="AS170" s="487" t="e">
        <f>+VLOOKUP($AJ170,Data_Validation!$A:$E,5,0)</f>
        <v>#N/A</v>
      </c>
      <c r="AT170" s="904">
        <f t="shared" si="10"/>
        <v>0</v>
      </c>
      <c r="AU170" s="488">
        <f t="shared" si="10"/>
        <v>0</v>
      </c>
      <c r="AV170" s="899">
        <f>IFERROR(INDEX(V170:AG170,1,MATCH(Parametres!$B$3,V$1:AG$1,0)-1)*IF(OR(C170="L",C170="S",C170="I"),-1,1),"")</f>
        <v>0</v>
      </c>
      <c r="AW170" s="899">
        <f t="shared" si="11"/>
        <v>0</v>
      </c>
      <c r="AX170" s="899">
        <f>INDEX(V170:AG170,1,MATCH(Parametres!$B$3,V$1:AG$1,0))*IF(OR(C170="L",C170="S",C170="I"),-1,1)</f>
        <v>0</v>
      </c>
      <c r="AY170" s="487" t="s">
        <v>337</v>
      </c>
      <c r="AZ170" s="487" t="e">
        <f>+VLOOKUP($AJ170,Data_Validation!$A:$E,5,0)</f>
        <v>#N/A</v>
      </c>
    </row>
    <row r="171" spans="36:52" ht="15" customHeight="1">
      <c r="AJ171" s="899">
        <f t="shared" si="8"/>
        <v>0</v>
      </c>
      <c r="AK171" s="899">
        <f t="shared" si="8"/>
        <v>0</v>
      </c>
      <c r="AL171" s="905">
        <f>IFERROR(INDEX(G171:R171,1,MATCH(Parametres!$B$3,G$1:R$1,0)-1)*IF(OR(F171="L",F171="S",F171="I"),-1,1),"")</f>
        <v>0</v>
      </c>
      <c r="AM171" s="905">
        <f t="shared" si="9"/>
        <v>0</v>
      </c>
      <c r="AN171" s="905">
        <f>INDEX(G171:R171,1,MATCH(Parametres!$B$3,G$1:R$1,0))*IF(OR(F171="L",F171="S",F171="I"),-1,1)</f>
        <v>0</v>
      </c>
      <c r="AO171" s="487" t="e">
        <f>+VLOOKUP($AJ171,Data_Validation!$A:$D,1,0)</f>
        <v>#N/A</v>
      </c>
      <c r="AP171" s="487" t="e">
        <f>+VLOOKUP($AJ171,Data_Validation!$A:$D,3,0)</f>
        <v>#N/A</v>
      </c>
      <c r="AQ171" s="487" t="e">
        <f>+VLOOKUP($AJ171,Data_Validation!$A:$D,4,0)</f>
        <v>#N/A</v>
      </c>
      <c r="AR171" s="487" t="s">
        <v>299</v>
      </c>
      <c r="AS171" s="487" t="e">
        <f>+VLOOKUP($AJ171,Data_Validation!$A:$E,5,0)</f>
        <v>#N/A</v>
      </c>
      <c r="AT171" s="904">
        <f t="shared" si="10"/>
        <v>0</v>
      </c>
      <c r="AU171" s="488">
        <f t="shared" si="10"/>
        <v>0</v>
      </c>
      <c r="AV171" s="899">
        <f>IFERROR(INDEX(V171:AG171,1,MATCH(Parametres!$B$3,V$1:AG$1,0)-1)*IF(OR(C171="L",C171="S",C171="I"),-1,1),"")</f>
        <v>0</v>
      </c>
      <c r="AW171" s="899">
        <f t="shared" si="11"/>
        <v>0</v>
      </c>
      <c r="AX171" s="899">
        <f>INDEX(V171:AG171,1,MATCH(Parametres!$B$3,V$1:AG$1,0))*IF(OR(C171="L",C171="S",C171="I"),-1,1)</f>
        <v>0</v>
      </c>
      <c r="AY171" s="487" t="s">
        <v>337</v>
      </c>
      <c r="AZ171" s="487" t="e">
        <f>+VLOOKUP($AJ171,Data_Validation!$A:$E,5,0)</f>
        <v>#N/A</v>
      </c>
    </row>
    <row r="172" spans="36:52" ht="15.75" customHeight="1">
      <c r="AJ172" s="899">
        <f t="shared" si="8"/>
        <v>0</v>
      </c>
      <c r="AK172" s="899">
        <f t="shared" si="8"/>
        <v>0</v>
      </c>
      <c r="AL172" s="905">
        <f>IFERROR(INDEX(G172:R172,1,MATCH(Parametres!$B$3,G$1:R$1,0)-1)*IF(OR(F172="L",F172="S",F172="I"),-1,1),"")</f>
        <v>0</v>
      </c>
      <c r="AM172" s="905">
        <f t="shared" si="9"/>
        <v>0</v>
      </c>
      <c r="AN172" s="905">
        <f>INDEX(G172:R172,1,MATCH(Parametres!$B$3,G$1:R$1,0))*IF(OR(F172="L",F172="S",F172="I"),-1,1)</f>
        <v>0</v>
      </c>
      <c r="AO172" s="487" t="e">
        <f>+VLOOKUP($AJ172,Data_Validation!$A:$D,1,0)</f>
        <v>#N/A</v>
      </c>
      <c r="AP172" s="487" t="e">
        <f>+VLOOKUP($AJ172,Data_Validation!$A:$D,3,0)</f>
        <v>#N/A</v>
      </c>
      <c r="AQ172" s="487" t="e">
        <f>+VLOOKUP($AJ172,Data_Validation!$A:$D,4,0)</f>
        <v>#N/A</v>
      </c>
      <c r="AR172" s="487" t="s">
        <v>299</v>
      </c>
      <c r="AS172" s="487" t="e">
        <f>+VLOOKUP($AJ172,Data_Validation!$A:$E,5,0)</f>
        <v>#N/A</v>
      </c>
      <c r="AT172" s="904">
        <f t="shared" si="10"/>
        <v>0</v>
      </c>
      <c r="AU172" s="488">
        <f t="shared" si="10"/>
        <v>0</v>
      </c>
      <c r="AV172" s="899">
        <f>IFERROR(INDEX(V172:AG172,1,MATCH(Parametres!$B$3,V$1:AG$1,0)-1)*IF(OR(C172="L",C172="S",C172="I"),-1,1),"")</f>
        <v>0</v>
      </c>
      <c r="AW172" s="899">
        <f t="shared" si="11"/>
        <v>0</v>
      </c>
      <c r="AX172" s="899">
        <f>INDEX(V172:AG172,1,MATCH(Parametres!$B$3,V$1:AG$1,0))*IF(OR(C172="L",C172="S",C172="I"),-1,1)</f>
        <v>0</v>
      </c>
      <c r="AY172" s="487" t="s">
        <v>337</v>
      </c>
      <c r="AZ172" s="487" t="e">
        <f>+VLOOKUP($AJ172,Data_Validation!$A:$E,5,0)</f>
        <v>#N/A</v>
      </c>
    </row>
    <row r="173" spans="36:52" ht="15" customHeight="1">
      <c r="AJ173" s="899">
        <f t="shared" si="8"/>
        <v>0</v>
      </c>
      <c r="AK173" s="899">
        <f t="shared" si="8"/>
        <v>0</v>
      </c>
      <c r="AL173" s="905">
        <f>IFERROR(INDEX(G173:R173,1,MATCH(Parametres!$B$3,G$1:R$1,0)-1)*IF(OR(F173="L",F173="S",F173="I"),-1,1),"")</f>
        <v>0</v>
      </c>
      <c r="AM173" s="905">
        <f t="shared" si="9"/>
        <v>0</v>
      </c>
      <c r="AN173" s="905">
        <f>INDEX(G173:R173,1,MATCH(Parametres!$B$3,G$1:R$1,0))*IF(OR(F173="L",F173="S",F173="I"),-1,1)</f>
        <v>0</v>
      </c>
      <c r="AO173" s="487" t="e">
        <f>+VLOOKUP($AJ173,Data_Validation!$A:$D,1,0)</f>
        <v>#N/A</v>
      </c>
      <c r="AP173" s="487" t="e">
        <f>+VLOOKUP($AJ173,Data_Validation!$A:$D,3,0)</f>
        <v>#N/A</v>
      </c>
      <c r="AQ173" s="487" t="e">
        <f>+VLOOKUP($AJ173,Data_Validation!$A:$D,4,0)</f>
        <v>#N/A</v>
      </c>
      <c r="AR173" s="487" t="s">
        <v>299</v>
      </c>
      <c r="AS173" s="487" t="e">
        <f>+VLOOKUP($AJ173,Data_Validation!$A:$E,5,0)</f>
        <v>#N/A</v>
      </c>
      <c r="AT173" s="904">
        <f t="shared" si="10"/>
        <v>0</v>
      </c>
      <c r="AU173" s="488">
        <f t="shared" si="10"/>
        <v>0</v>
      </c>
      <c r="AV173" s="899">
        <f>IFERROR(INDEX(V173:AG173,1,MATCH(Parametres!$B$3,V$1:AG$1,0)-1)*IF(OR(C173="L",C173="S",C173="I"),-1,1),"")</f>
        <v>0</v>
      </c>
      <c r="AW173" s="899">
        <f t="shared" si="11"/>
        <v>0</v>
      </c>
      <c r="AX173" s="899">
        <f>INDEX(V173:AG173,1,MATCH(Parametres!$B$3,V$1:AG$1,0))*IF(OR(C173="L",C173="S",C173="I"),-1,1)</f>
        <v>0</v>
      </c>
      <c r="AY173" s="487" t="s">
        <v>337</v>
      </c>
      <c r="AZ173" s="487" t="e">
        <f>+VLOOKUP($AJ173,Data_Validation!$A:$E,5,0)</f>
        <v>#N/A</v>
      </c>
    </row>
    <row r="174" spans="36:52" ht="15" customHeight="1">
      <c r="AJ174" s="899">
        <f t="shared" si="8"/>
        <v>0</v>
      </c>
      <c r="AK174" s="899">
        <f t="shared" si="8"/>
        <v>0</v>
      </c>
      <c r="AL174" s="905">
        <f>IFERROR(INDEX(G174:R174,1,MATCH(Parametres!$B$3,G$1:R$1,0)-1)*IF(OR(F174="L",F174="S",F174="I"),-1,1),"")</f>
        <v>0</v>
      </c>
      <c r="AM174" s="905">
        <f t="shared" si="9"/>
        <v>0</v>
      </c>
      <c r="AN174" s="905">
        <f>INDEX(G174:R174,1,MATCH(Parametres!$B$3,G$1:R$1,0))*IF(OR(F174="L",F174="S",F174="I"),-1,1)</f>
        <v>0</v>
      </c>
      <c r="AO174" s="487" t="e">
        <f>+VLOOKUP($AJ174,Data_Validation!$A:$D,1,0)</f>
        <v>#N/A</v>
      </c>
      <c r="AP174" s="487" t="e">
        <f>+VLOOKUP($AJ174,Data_Validation!$A:$D,3,0)</f>
        <v>#N/A</v>
      </c>
      <c r="AQ174" s="487" t="e">
        <f>+VLOOKUP($AJ174,Data_Validation!$A:$D,4,0)</f>
        <v>#N/A</v>
      </c>
      <c r="AR174" s="487" t="s">
        <v>299</v>
      </c>
      <c r="AS174" s="487" t="e">
        <f>+VLOOKUP($AJ174,Data_Validation!$A:$E,5,0)</f>
        <v>#N/A</v>
      </c>
      <c r="AT174" s="904">
        <f t="shared" si="10"/>
        <v>0</v>
      </c>
      <c r="AU174" s="488">
        <f t="shared" si="10"/>
        <v>0</v>
      </c>
      <c r="AV174" s="899">
        <f>IFERROR(INDEX(V174:AG174,1,MATCH(Parametres!$B$3,V$1:AG$1,0)-1)*IF(OR(C174="L",C174="S",C174="I"),-1,1),"")</f>
        <v>0</v>
      </c>
      <c r="AW174" s="899">
        <f t="shared" si="11"/>
        <v>0</v>
      </c>
      <c r="AX174" s="899">
        <f>INDEX(V174:AG174,1,MATCH(Parametres!$B$3,V$1:AG$1,0))*IF(OR(C174="L",C174="S",C174="I"),-1,1)</f>
        <v>0</v>
      </c>
      <c r="AY174" s="487" t="s">
        <v>337</v>
      </c>
      <c r="AZ174" s="487" t="e">
        <f>+VLOOKUP($AJ174,Data_Validation!$A:$E,5,0)</f>
        <v>#N/A</v>
      </c>
    </row>
    <row r="175" spans="36:52" ht="15" customHeight="1">
      <c r="AJ175" s="899">
        <f t="shared" si="8"/>
        <v>0</v>
      </c>
      <c r="AK175" s="899">
        <f t="shared" si="8"/>
        <v>0</v>
      </c>
      <c r="AL175" s="905">
        <f>IFERROR(INDEX(G175:R175,1,MATCH(Parametres!$B$3,G$1:R$1,0)-1)*IF(OR(F175="L",F175="S",F175="I"),-1,1),"")</f>
        <v>0</v>
      </c>
      <c r="AM175" s="905">
        <f t="shared" si="9"/>
        <v>0</v>
      </c>
      <c r="AN175" s="905">
        <f>INDEX(G175:R175,1,MATCH(Parametres!$B$3,G$1:R$1,0))*IF(OR(F175="L",F175="S",F175="I"),-1,1)</f>
        <v>0</v>
      </c>
      <c r="AO175" s="487" t="e">
        <f>+VLOOKUP($AJ175,Data_Validation!$A:$D,1,0)</f>
        <v>#N/A</v>
      </c>
      <c r="AP175" s="487" t="e">
        <f>+VLOOKUP($AJ175,Data_Validation!$A:$D,3,0)</f>
        <v>#N/A</v>
      </c>
      <c r="AQ175" s="487" t="e">
        <f>+VLOOKUP($AJ175,Data_Validation!$A:$D,4,0)</f>
        <v>#N/A</v>
      </c>
      <c r="AR175" s="487" t="s">
        <v>299</v>
      </c>
      <c r="AS175" s="487" t="e">
        <f>+VLOOKUP($AJ175,Data_Validation!$A:$E,5,0)</f>
        <v>#N/A</v>
      </c>
      <c r="AT175" s="904">
        <f t="shared" si="10"/>
        <v>0</v>
      </c>
      <c r="AU175" s="488">
        <f t="shared" si="10"/>
        <v>0</v>
      </c>
      <c r="AV175" s="899">
        <f>IFERROR(INDEX(V175:AG175,1,MATCH(Parametres!$B$3,V$1:AG$1,0)-1)*IF(OR(C175="L",C175="S",C175="I"),-1,1),"")</f>
        <v>0</v>
      </c>
      <c r="AW175" s="899">
        <f t="shared" si="11"/>
        <v>0</v>
      </c>
      <c r="AX175" s="899">
        <f>INDEX(V175:AG175,1,MATCH(Parametres!$B$3,V$1:AG$1,0))*IF(OR(C175="L",C175="S",C175="I"),-1,1)</f>
        <v>0</v>
      </c>
      <c r="AY175" s="487" t="s">
        <v>337</v>
      </c>
      <c r="AZ175" s="487" t="e">
        <f>+VLOOKUP($AJ175,Data_Validation!$A:$E,5,0)</f>
        <v>#N/A</v>
      </c>
    </row>
    <row r="176" spans="36:52" ht="15.75" customHeight="1">
      <c r="AJ176" s="899">
        <f t="shared" si="8"/>
        <v>0</v>
      </c>
      <c r="AK176" s="899">
        <f t="shared" si="8"/>
        <v>0</v>
      </c>
      <c r="AL176" s="905">
        <f>IFERROR(INDEX(G176:R176,1,MATCH(Parametres!$B$3,G$1:R$1,0)-1)*IF(OR(F176="L",F176="S",F176="I"),-1,1),"")</f>
        <v>0</v>
      </c>
      <c r="AM176" s="905">
        <f t="shared" si="9"/>
        <v>0</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f t="shared" si="10"/>
        <v>0</v>
      </c>
      <c r="AU176" s="488">
        <f t="shared" si="10"/>
        <v>0</v>
      </c>
      <c r="AV176" s="899">
        <f>IFERROR(INDEX(V176:AG176,1,MATCH(Parametres!$B$3,V$1:AG$1,0)-1)*IF(OR(C176="L",C176="S",C176="I"),-1,1),"")</f>
        <v>0</v>
      </c>
      <c r="AW176" s="899">
        <f t="shared" si="11"/>
        <v>0</v>
      </c>
      <c r="AX176" s="899">
        <f>INDEX(V176:AG176,1,MATCH(Parametres!$B$3,V$1:AG$1,0))*IF(OR(C176="L",C176="S",C176="I"),-1,1)</f>
        <v>0</v>
      </c>
      <c r="AY176" s="487" t="s">
        <v>337</v>
      </c>
      <c r="AZ176" s="487" t="e">
        <f>+VLOOKUP($AJ176,Data_Validation!$A:$E,5,0)</f>
        <v>#N/A</v>
      </c>
    </row>
    <row r="177" spans="36:52" ht="15" customHeight="1">
      <c r="AJ177" s="899">
        <f t="shared" si="8"/>
        <v>0</v>
      </c>
      <c r="AK177" s="899">
        <f t="shared" si="8"/>
        <v>0</v>
      </c>
      <c r="AL177" s="905">
        <f>IFERROR(INDEX(G177:R177,1,MATCH(Parametres!$B$3,G$1:R$1,0)-1)*IF(OR(F177="L",F177="S",F177="I"),-1,1),"")</f>
        <v>0</v>
      </c>
      <c r="AM177" s="905">
        <f t="shared" si="9"/>
        <v>0</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f t="shared" si="10"/>
        <v>0</v>
      </c>
      <c r="AU177" s="488">
        <f t="shared" si="10"/>
        <v>0</v>
      </c>
      <c r="AV177" s="899">
        <f>IFERROR(INDEX(V177:AG177,1,MATCH(Parametres!$B$3,V$1:AG$1,0)-1)*IF(OR(C177="L",C177="S",C177="I"),-1,1),"")</f>
        <v>0</v>
      </c>
      <c r="AW177" s="899">
        <f t="shared" si="11"/>
        <v>0</v>
      </c>
      <c r="AX177" s="899">
        <f>INDEX(V177:AG177,1,MATCH(Parametres!$B$3,V$1:AG$1,0))*IF(OR(C177="L",C177="S",C177="I"),-1,1)</f>
        <v>0</v>
      </c>
      <c r="AY177" s="487" t="s">
        <v>337</v>
      </c>
      <c r="AZ177" s="487" t="e">
        <f>+VLOOKUP($AJ177,Data_Validation!$A:$E,5,0)</f>
        <v>#N/A</v>
      </c>
    </row>
    <row r="178" spans="36:52" ht="15" customHeight="1">
      <c r="AJ178" s="899">
        <f t="shared" si="8"/>
        <v>0</v>
      </c>
      <c r="AK178" s="899">
        <f t="shared" si="8"/>
        <v>0</v>
      </c>
      <c r="AL178" s="905">
        <f>IFERROR(INDEX(G178:R178,1,MATCH(Parametres!$B$3,G$1:R$1,0)-1)*IF(OR(F178="L",F178="S",F178="I"),-1,1),"")</f>
        <v>0</v>
      </c>
      <c r="AM178" s="905">
        <f t="shared" si="9"/>
        <v>0</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f t="shared" si="10"/>
        <v>0</v>
      </c>
      <c r="AU178" s="488">
        <f t="shared" si="10"/>
        <v>0</v>
      </c>
      <c r="AV178" s="899">
        <f>IFERROR(INDEX(V178:AG178,1,MATCH(Parametres!$B$3,V$1:AG$1,0)-1)*IF(OR(C178="L",C178="S",C178="I"),-1,1),"")</f>
        <v>0</v>
      </c>
      <c r="AW178" s="899">
        <f t="shared" si="11"/>
        <v>0</v>
      </c>
      <c r="AX178" s="899">
        <f>INDEX(V178:AG178,1,MATCH(Parametres!$B$3,V$1:AG$1,0))*IF(OR(C178="L",C178="S",C178="I"),-1,1)</f>
        <v>0</v>
      </c>
      <c r="AY178" s="487" t="s">
        <v>337</v>
      </c>
      <c r="AZ178" s="487" t="e">
        <f>+VLOOKUP($AJ178,Data_Validation!$A:$E,5,0)</f>
        <v>#N/A</v>
      </c>
    </row>
    <row r="179" spans="36:52" ht="15" customHeight="1">
      <c r="AJ179" s="899">
        <f t="shared" si="8"/>
        <v>0</v>
      </c>
      <c r="AK179" s="899">
        <f t="shared" si="8"/>
        <v>0</v>
      </c>
      <c r="AL179" s="905">
        <f>IFERROR(INDEX(G179:R179,1,MATCH(Parametres!$B$3,G$1:R$1,0)-1)*IF(OR(F179="L",F179="S",F179="I"),-1,1),"")</f>
        <v>0</v>
      </c>
      <c r="AM179" s="905">
        <f t="shared" si="9"/>
        <v>0</v>
      </c>
      <c r="AN179" s="905">
        <f>INDEX(G179:R179,1,MATCH(Parametres!$B$3,G$1:R$1,0))*IF(OR(F179="L",F179="S",F179="I"),-1,1)</f>
        <v>0</v>
      </c>
      <c r="AO179" s="487" t="e">
        <f>+VLOOKUP($AJ179,Data_Validation!$A:$D,1,0)</f>
        <v>#N/A</v>
      </c>
      <c r="AP179" s="487" t="e">
        <f>+VLOOKUP($AJ179,Data_Validation!$A:$D,3,0)</f>
        <v>#N/A</v>
      </c>
      <c r="AQ179" s="487" t="e">
        <f>+VLOOKUP($AJ179,Data_Validation!$A:$D,4,0)</f>
        <v>#N/A</v>
      </c>
      <c r="AR179" s="487" t="s">
        <v>299</v>
      </c>
      <c r="AS179" s="487" t="e">
        <f>+VLOOKUP($AJ179,Data_Validation!$A:$E,5,0)</f>
        <v>#N/A</v>
      </c>
      <c r="AT179" s="904">
        <f t="shared" si="10"/>
        <v>0</v>
      </c>
      <c r="AU179" s="488">
        <f t="shared" si="10"/>
        <v>0</v>
      </c>
      <c r="AV179" s="899">
        <f>IFERROR(INDEX(V179:AG179,1,MATCH(Parametres!$B$3,V$1:AG$1,0)-1)*IF(OR(C179="L",C179="S",C179="I"),-1,1),"")</f>
        <v>0</v>
      </c>
      <c r="AW179" s="899">
        <f t="shared" si="11"/>
        <v>0</v>
      </c>
      <c r="AX179" s="899">
        <f>INDEX(V179:AG179,1,MATCH(Parametres!$B$3,V$1:AG$1,0))*IF(OR(C179="L",C179="S",C179="I"),-1,1)</f>
        <v>0</v>
      </c>
      <c r="AY179" s="487" t="s">
        <v>337</v>
      </c>
      <c r="AZ179" s="487" t="e">
        <f>+VLOOKUP($AJ179,Data_Validation!$A:$E,5,0)</f>
        <v>#N/A</v>
      </c>
    </row>
    <row r="180" spans="36:52" ht="15" customHeight="1">
      <c r="AJ180" s="899">
        <f t="shared" si="8"/>
        <v>0</v>
      </c>
      <c r="AK180" s="899">
        <f t="shared" si="8"/>
        <v>0</v>
      </c>
      <c r="AL180" s="905">
        <f>IFERROR(INDEX(G180:R180,1,MATCH(Parametres!$B$3,G$1:R$1,0)-1)*IF(OR(F180="L",F180="S",F180="I"),-1,1),"")</f>
        <v>0</v>
      </c>
      <c r="AM180" s="905">
        <f t="shared" si="9"/>
        <v>0</v>
      </c>
      <c r="AN180" s="905">
        <f>INDEX(G180:R180,1,MATCH(Parametres!$B$3,G$1:R$1,0))*IF(OR(F180="L",F180="S",F180="I"),-1,1)</f>
        <v>0</v>
      </c>
      <c r="AO180" s="487" t="e">
        <f>+VLOOKUP($AJ180,Data_Validation!$A:$D,1,0)</f>
        <v>#N/A</v>
      </c>
      <c r="AP180" s="487" t="e">
        <f>+VLOOKUP($AJ180,Data_Validation!$A:$D,3,0)</f>
        <v>#N/A</v>
      </c>
      <c r="AQ180" s="487" t="e">
        <f>+VLOOKUP($AJ180,Data_Validation!$A:$D,4,0)</f>
        <v>#N/A</v>
      </c>
      <c r="AR180" s="487" t="s">
        <v>299</v>
      </c>
      <c r="AS180" s="487" t="e">
        <f>+VLOOKUP($AJ180,Data_Validation!$A:$E,5,0)</f>
        <v>#N/A</v>
      </c>
      <c r="AT180" s="904">
        <f t="shared" si="10"/>
        <v>0</v>
      </c>
      <c r="AU180" s="488">
        <f t="shared" si="10"/>
        <v>0</v>
      </c>
      <c r="AV180" s="899">
        <f>IFERROR(INDEX(V180:AG180,1,MATCH(Parametres!$B$3,V$1:AG$1,0)-1)*IF(OR(C180="L",C180="S",C180="I"),-1,1),"")</f>
        <v>0</v>
      </c>
      <c r="AW180" s="899">
        <f t="shared" si="11"/>
        <v>0</v>
      </c>
      <c r="AX180" s="899">
        <f>INDEX(V180:AG180,1,MATCH(Parametres!$B$3,V$1:AG$1,0))*IF(OR(C180="L",C180="S",C180="I"),-1,1)</f>
        <v>0</v>
      </c>
      <c r="AY180" s="487" t="s">
        <v>337</v>
      </c>
      <c r="AZ180" s="487" t="e">
        <f>+VLOOKUP($AJ180,Data_Validation!$A:$E,5,0)</f>
        <v>#N/A</v>
      </c>
    </row>
    <row r="181" spans="36:52" ht="15.75" customHeight="1">
      <c r="AJ181" s="899">
        <f t="shared" si="8"/>
        <v>0</v>
      </c>
      <c r="AK181" s="899">
        <f t="shared" si="8"/>
        <v>0</v>
      </c>
      <c r="AL181" s="905">
        <f>IFERROR(INDEX(G181:R181,1,MATCH(Parametres!$B$3,G$1:R$1,0)-1)*IF(OR(F181="L",F181="S",F181="I"),-1,1),"")</f>
        <v>0</v>
      </c>
      <c r="AM181" s="905">
        <f t="shared" si="9"/>
        <v>0</v>
      </c>
      <c r="AN181" s="905">
        <f>INDEX(G181:R181,1,MATCH(Parametres!$B$3,G$1:R$1,0))*IF(OR(F181="L",F181="S",F181="I"),-1,1)</f>
        <v>0</v>
      </c>
      <c r="AO181" s="487" t="e">
        <f>+VLOOKUP($AJ181,Data_Validation!$A:$D,1,0)</f>
        <v>#N/A</v>
      </c>
      <c r="AP181" s="487" t="e">
        <f>+VLOOKUP($AJ181,Data_Validation!$A:$D,3,0)</f>
        <v>#N/A</v>
      </c>
      <c r="AQ181" s="487" t="e">
        <f>+VLOOKUP($AJ181,Data_Validation!$A:$D,4,0)</f>
        <v>#N/A</v>
      </c>
      <c r="AR181" s="487" t="s">
        <v>299</v>
      </c>
      <c r="AS181" s="487" t="e">
        <f>+VLOOKUP($AJ181,Data_Validation!$A:$E,5,0)</f>
        <v>#N/A</v>
      </c>
      <c r="AT181" s="904">
        <f t="shared" si="10"/>
        <v>0</v>
      </c>
      <c r="AU181" s="488">
        <f t="shared" si="10"/>
        <v>0</v>
      </c>
      <c r="AV181" s="899">
        <f>IFERROR(INDEX(V181:AG181,1,MATCH(Parametres!$B$3,V$1:AG$1,0)-1)*IF(OR(C181="L",C181="S",C181="I"),-1,1),"")</f>
        <v>0</v>
      </c>
      <c r="AW181" s="899">
        <f t="shared" si="11"/>
        <v>0</v>
      </c>
      <c r="AX181" s="899">
        <f>INDEX(V181:AG181,1,MATCH(Parametres!$B$3,V$1:AG$1,0))*IF(OR(C181="L",C181="S",C181="I"),-1,1)</f>
        <v>0</v>
      </c>
      <c r="AY181" s="487" t="s">
        <v>337</v>
      </c>
      <c r="AZ181" s="487" t="e">
        <f>+VLOOKUP($AJ181,Data_Validation!$A:$E,5,0)</f>
        <v>#N/A</v>
      </c>
    </row>
    <row r="182" spans="36:52" ht="15.75" customHeight="1">
      <c r="AJ182" s="899">
        <f t="shared" si="8"/>
        <v>0</v>
      </c>
      <c r="AK182" s="899">
        <f t="shared" si="8"/>
        <v>0</v>
      </c>
      <c r="AL182" s="905">
        <f>IFERROR(INDEX(G182:R182,1,MATCH(Parametres!$B$3,G$1:R$1,0)-1)*IF(OR(F182="L",F182="S",F182="I"),-1,1),"")</f>
        <v>0</v>
      </c>
      <c r="AM182" s="905">
        <f t="shared" si="9"/>
        <v>0</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f t="shared" si="10"/>
        <v>0</v>
      </c>
      <c r="AU182" s="488">
        <f t="shared" si="10"/>
        <v>0</v>
      </c>
      <c r="AV182" s="899">
        <f>IFERROR(INDEX(V182:AG182,1,MATCH(Parametres!$B$3,V$1:AG$1,0)-1)*IF(OR(C182="L",C182="S",C182="I"),-1,1),"")</f>
        <v>0</v>
      </c>
      <c r="AW182" s="899">
        <f t="shared" si="11"/>
        <v>0</v>
      </c>
      <c r="AX182" s="899">
        <f>INDEX(V182:AG182,1,MATCH(Parametres!$B$3,V$1:AG$1,0))*IF(OR(C182="L",C182="S",C182="I"),-1,1)</f>
        <v>0</v>
      </c>
      <c r="AY182" s="487" t="s">
        <v>337</v>
      </c>
      <c r="AZ182" s="487" t="e">
        <f>+VLOOKUP($AJ182,Data_Validation!$A:$E,5,0)</f>
        <v>#N/A</v>
      </c>
    </row>
    <row r="183" spans="36:52" ht="15.75" customHeight="1">
      <c r="AJ183" s="899">
        <f t="shared" si="8"/>
        <v>0</v>
      </c>
      <c r="AK183" s="899">
        <f t="shared" si="8"/>
        <v>0</v>
      </c>
      <c r="AL183" s="905">
        <f>IFERROR(INDEX(G183:R183,1,MATCH(Parametres!$B$3,G$1:R$1,0)-1)*IF(OR(F183="L",F183="S",F183="I"),-1,1),"")</f>
        <v>0</v>
      </c>
      <c r="AM183" s="905">
        <f t="shared" si="9"/>
        <v>0</v>
      </c>
      <c r="AN183" s="905">
        <f>INDEX(G183:R183,1,MATCH(Parametres!$B$3,G$1:R$1,0))*IF(OR(F183="L",F183="S",F183="I"),-1,1)</f>
        <v>0</v>
      </c>
      <c r="AO183" s="487" t="e">
        <f>+VLOOKUP($AJ183,Data_Validation!$A:$D,1,0)</f>
        <v>#N/A</v>
      </c>
      <c r="AP183" s="487" t="e">
        <f>+VLOOKUP($AJ183,Data_Validation!$A:$D,3,0)</f>
        <v>#N/A</v>
      </c>
      <c r="AQ183" s="487" t="e">
        <f>+VLOOKUP($AJ183,Data_Validation!$A:$D,4,0)</f>
        <v>#N/A</v>
      </c>
      <c r="AR183" s="487" t="s">
        <v>299</v>
      </c>
      <c r="AS183" s="487" t="e">
        <f>+VLOOKUP($AJ183,Data_Validation!$A:$E,5,0)</f>
        <v>#N/A</v>
      </c>
      <c r="AT183" s="904">
        <f t="shared" si="10"/>
        <v>0</v>
      </c>
      <c r="AU183" s="488">
        <f t="shared" si="10"/>
        <v>0</v>
      </c>
      <c r="AV183" s="899">
        <f>IFERROR(INDEX(V183:AG183,1,MATCH(Parametres!$B$3,V$1:AG$1,0)-1)*IF(OR(C183="L",C183="S",C183="I"),-1,1),"")</f>
        <v>0</v>
      </c>
      <c r="AW183" s="899">
        <f t="shared" si="11"/>
        <v>0</v>
      </c>
      <c r="AX183" s="899">
        <f>INDEX(V183:AG183,1,MATCH(Parametres!$B$3,V$1:AG$1,0))*IF(OR(C183="L",C183="S",C183="I"),-1,1)</f>
        <v>0</v>
      </c>
      <c r="AY183" s="487" t="s">
        <v>337</v>
      </c>
      <c r="AZ183" s="487" t="e">
        <f>+VLOOKUP($AJ183,Data_Validation!$A:$E,5,0)</f>
        <v>#N/A</v>
      </c>
    </row>
    <row r="184" spans="36:52" ht="15.75" customHeight="1">
      <c r="AJ184" s="899">
        <f t="shared" si="8"/>
        <v>0</v>
      </c>
      <c r="AK184" s="899">
        <f t="shared" si="8"/>
        <v>0</v>
      </c>
      <c r="AL184" s="905">
        <f>IFERROR(INDEX(G184:R184,1,MATCH(Parametres!$B$3,G$1:R$1,0)-1)*IF(OR(F184="L",F184="S",F184="I"),-1,1),"")</f>
        <v>0</v>
      </c>
      <c r="AM184" s="905">
        <f t="shared" si="9"/>
        <v>0</v>
      </c>
      <c r="AN184" s="905">
        <f>INDEX(G184:R184,1,MATCH(Parametres!$B$3,G$1:R$1,0))*IF(OR(F184="L",F184="S",F184="I"),-1,1)</f>
        <v>0</v>
      </c>
      <c r="AO184" s="487" t="e">
        <f>+VLOOKUP($AJ184,Data_Validation!$A:$D,1,0)</f>
        <v>#N/A</v>
      </c>
      <c r="AP184" s="487" t="e">
        <f>+VLOOKUP($AJ184,Data_Validation!$A:$D,3,0)</f>
        <v>#N/A</v>
      </c>
      <c r="AQ184" s="487" t="e">
        <f>+VLOOKUP($AJ184,Data_Validation!$A:$D,4,0)</f>
        <v>#N/A</v>
      </c>
      <c r="AR184" s="487" t="s">
        <v>299</v>
      </c>
      <c r="AS184" s="487" t="e">
        <f>+VLOOKUP($AJ184,Data_Validation!$A:$E,5,0)</f>
        <v>#N/A</v>
      </c>
      <c r="AT184" s="904">
        <f t="shared" si="10"/>
        <v>0</v>
      </c>
      <c r="AU184" s="488">
        <f t="shared" si="10"/>
        <v>0</v>
      </c>
      <c r="AV184" s="899">
        <f>IFERROR(INDEX(V184:AG184,1,MATCH(Parametres!$B$3,V$1:AG$1,0)-1)*IF(OR(C184="L",C184="S",C184="I"),-1,1),"")</f>
        <v>0</v>
      </c>
      <c r="AW184" s="899">
        <f t="shared" si="11"/>
        <v>0</v>
      </c>
      <c r="AX184" s="899">
        <f>INDEX(V184:AG184,1,MATCH(Parametres!$B$3,V$1:AG$1,0))*IF(OR(C184="L",C184="S",C184="I"),-1,1)</f>
        <v>0</v>
      </c>
      <c r="AY184" s="487" t="s">
        <v>337</v>
      </c>
      <c r="AZ184" s="487" t="e">
        <f>+VLOOKUP($AJ184,Data_Validation!$A:$E,5,0)</f>
        <v>#N/A</v>
      </c>
    </row>
    <row r="185" spans="36:52" ht="15.75" customHeight="1">
      <c r="AJ185" s="899">
        <f t="shared" si="8"/>
        <v>0</v>
      </c>
      <c r="AK185" s="899">
        <f t="shared" si="8"/>
        <v>0</v>
      </c>
      <c r="AL185" s="905">
        <f>IFERROR(INDEX(G185:R185,1,MATCH(Parametres!$B$3,G$1:R$1,0)-1)*IF(OR(F185="L",F185="S",F185="I"),-1,1),"")</f>
        <v>0</v>
      </c>
      <c r="AM185" s="905">
        <f t="shared" si="9"/>
        <v>0</v>
      </c>
      <c r="AN185" s="905">
        <f>INDEX(G185:R185,1,MATCH(Parametres!$B$3,G$1:R$1,0))*IF(OR(F185="L",F185="S",F185="I"),-1,1)</f>
        <v>0</v>
      </c>
      <c r="AO185" s="487" t="e">
        <f>+VLOOKUP($AJ185,Data_Validation!$A:$D,1,0)</f>
        <v>#N/A</v>
      </c>
      <c r="AP185" s="487" t="e">
        <f>+VLOOKUP($AJ185,Data_Validation!$A:$D,3,0)</f>
        <v>#N/A</v>
      </c>
      <c r="AQ185" s="487" t="e">
        <f>+VLOOKUP($AJ185,Data_Validation!$A:$D,4,0)</f>
        <v>#N/A</v>
      </c>
      <c r="AR185" s="487" t="s">
        <v>299</v>
      </c>
      <c r="AS185" s="487" t="e">
        <f>+VLOOKUP($AJ185,Data_Validation!$A:$E,5,0)</f>
        <v>#N/A</v>
      </c>
      <c r="AT185" s="904">
        <f t="shared" si="10"/>
        <v>0</v>
      </c>
      <c r="AU185" s="488">
        <f t="shared" si="10"/>
        <v>0</v>
      </c>
      <c r="AV185" s="899">
        <f>IFERROR(INDEX(V185:AG185,1,MATCH(Parametres!$B$3,V$1:AG$1,0)-1)*IF(OR(C185="L",C185="S",C185="I"),-1,1),"")</f>
        <v>0</v>
      </c>
      <c r="AW185" s="899">
        <f t="shared" si="11"/>
        <v>0</v>
      </c>
      <c r="AX185" s="899">
        <f>INDEX(V185:AG185,1,MATCH(Parametres!$B$3,V$1:AG$1,0))*IF(OR(C185="L",C185="S",C185="I"),-1,1)</f>
        <v>0</v>
      </c>
      <c r="AY185" s="487" t="s">
        <v>337</v>
      </c>
      <c r="AZ185" s="487" t="e">
        <f>+VLOOKUP($AJ185,Data_Validation!$A:$E,5,0)</f>
        <v>#N/A</v>
      </c>
    </row>
    <row r="186" spans="36:52" ht="15.75" customHeight="1">
      <c r="AJ186" s="899">
        <f t="shared" si="8"/>
        <v>0</v>
      </c>
      <c r="AK186" s="899">
        <f t="shared" si="8"/>
        <v>0</v>
      </c>
      <c r="AL186" s="905">
        <f>IFERROR(INDEX(G186:R186,1,MATCH(Parametres!$B$3,G$1:R$1,0)-1)*IF(OR(F186="L",F186="S",F186="I"),-1,1),"")</f>
        <v>0</v>
      </c>
      <c r="AM186" s="905">
        <f t="shared" si="9"/>
        <v>0</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f t="shared" si="10"/>
        <v>0</v>
      </c>
      <c r="AU186" s="488">
        <f t="shared" si="10"/>
        <v>0</v>
      </c>
      <c r="AV186" s="899">
        <f>IFERROR(INDEX(V186:AG186,1,MATCH(Parametres!$B$3,V$1:AG$1,0)-1)*IF(OR(C186="L",C186="S",C186="I"),-1,1),"")</f>
        <v>0</v>
      </c>
      <c r="AW186" s="899">
        <f t="shared" si="11"/>
        <v>0</v>
      </c>
      <c r="AX186" s="899">
        <f>INDEX(V186:AG186,1,MATCH(Parametres!$B$3,V$1:AG$1,0))*IF(OR(C186="L",C186="S",C186="I"),-1,1)</f>
        <v>0</v>
      </c>
      <c r="AY186" s="487" t="s">
        <v>337</v>
      </c>
      <c r="AZ186" s="487" t="e">
        <f>+VLOOKUP($AJ186,Data_Validation!$A:$E,5,0)</f>
        <v>#N/A</v>
      </c>
    </row>
    <row r="187" spans="36:52" ht="15" customHeight="1">
      <c r="AJ187" s="899">
        <f t="shared" si="8"/>
        <v>0</v>
      </c>
      <c r="AK187" s="899">
        <f t="shared" si="8"/>
        <v>0</v>
      </c>
      <c r="AL187" s="905">
        <f>IFERROR(INDEX(G187:R187,1,MATCH(Parametres!$B$3,G$1:R$1,0)-1)*IF(OR(F187="L",F187="S",F187="I"),-1,1),"")</f>
        <v>0</v>
      </c>
      <c r="AM187" s="905">
        <f t="shared" si="9"/>
        <v>0</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f t="shared" si="10"/>
        <v>0</v>
      </c>
      <c r="AU187" s="488">
        <f t="shared" si="10"/>
        <v>0</v>
      </c>
      <c r="AV187" s="899">
        <f>IFERROR(INDEX(V187:AG187,1,MATCH(Parametres!$B$3,V$1:AG$1,0)-1)*IF(OR(C187="L",C187="S",C187="I"),-1,1),"")</f>
        <v>0</v>
      </c>
      <c r="AW187" s="899">
        <f t="shared" si="11"/>
        <v>0</v>
      </c>
      <c r="AX187" s="899">
        <f>INDEX(V187:AG187,1,MATCH(Parametres!$B$3,V$1:AG$1,0))*IF(OR(C187="L",C187="S",C187="I"),-1,1)</f>
        <v>0</v>
      </c>
      <c r="AY187" s="487" t="s">
        <v>337</v>
      </c>
      <c r="AZ187" s="487" t="e">
        <f>+VLOOKUP($AJ187,Data_Validation!$A:$E,5,0)</f>
        <v>#N/A</v>
      </c>
    </row>
    <row r="188" spans="36:52" ht="15" customHeight="1">
      <c r="AJ188" s="899">
        <f t="shared" si="8"/>
        <v>0</v>
      </c>
      <c r="AK188" s="899">
        <f t="shared" si="8"/>
        <v>0</v>
      </c>
      <c r="AL188" s="905">
        <f>IFERROR(INDEX(G188:R188,1,MATCH(Parametres!$B$3,G$1:R$1,0)-1)*IF(OR(F188="L",F188="S",F188="I"),-1,1),"")</f>
        <v>0</v>
      </c>
      <c r="AM188" s="905">
        <f t="shared" si="9"/>
        <v>0</v>
      </c>
      <c r="AN188" s="905">
        <f>INDEX(G188:R188,1,MATCH(Parametres!$B$3,G$1:R$1,0))*IF(OR(F188="L",F188="S",F188="I"),-1,1)</f>
        <v>0</v>
      </c>
      <c r="AO188" s="487" t="e">
        <f>+VLOOKUP($AJ188,Data_Validation!$A:$D,1,0)</f>
        <v>#N/A</v>
      </c>
      <c r="AP188" s="487" t="e">
        <f>+VLOOKUP($AJ188,Data_Validation!$A:$D,3,0)</f>
        <v>#N/A</v>
      </c>
      <c r="AQ188" s="487" t="e">
        <f>+VLOOKUP($AJ188,Data_Validation!$A:$D,4,0)</f>
        <v>#N/A</v>
      </c>
      <c r="AR188" s="487" t="s">
        <v>299</v>
      </c>
      <c r="AS188" s="487" t="e">
        <f>+VLOOKUP($AJ188,Data_Validation!$A:$E,5,0)</f>
        <v>#N/A</v>
      </c>
      <c r="AT188" s="904">
        <f t="shared" si="10"/>
        <v>0</v>
      </c>
      <c r="AU188" s="488">
        <f t="shared" si="10"/>
        <v>0</v>
      </c>
      <c r="AV188" s="899">
        <f>IFERROR(INDEX(V188:AG188,1,MATCH(Parametres!$B$3,V$1:AG$1,0)-1)*IF(OR(C188="L",C188="S",C188="I"),-1,1),"")</f>
        <v>0</v>
      </c>
      <c r="AW188" s="899">
        <f t="shared" si="11"/>
        <v>0</v>
      </c>
      <c r="AX188" s="899">
        <f>INDEX(V188:AG188,1,MATCH(Parametres!$B$3,V$1:AG$1,0))*IF(OR(C188="L",C188="S",C188="I"),-1,1)</f>
        <v>0</v>
      </c>
      <c r="AY188" s="487" t="s">
        <v>337</v>
      </c>
      <c r="AZ188" s="487" t="e">
        <f>+VLOOKUP($AJ188,Data_Validation!$A:$E,5,0)</f>
        <v>#N/A</v>
      </c>
    </row>
    <row r="189" spans="36:52" ht="15" customHeight="1">
      <c r="AJ189" s="899">
        <f t="shared" si="8"/>
        <v>0</v>
      </c>
      <c r="AK189" s="899">
        <f t="shared" si="8"/>
        <v>0</v>
      </c>
      <c r="AL189" s="905">
        <f>IFERROR(INDEX(G189:R189,1,MATCH(Parametres!$B$3,G$1:R$1,0)-1)*IF(OR(F189="L",F189="S",F189="I"),-1,1),"")</f>
        <v>0</v>
      </c>
      <c r="AM189" s="905">
        <f t="shared" si="9"/>
        <v>0</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f t="shared" si="10"/>
        <v>0</v>
      </c>
      <c r="AU189" s="488">
        <f t="shared" si="10"/>
        <v>0</v>
      </c>
      <c r="AV189" s="899">
        <f>IFERROR(INDEX(V189:AG189,1,MATCH(Parametres!$B$3,V$1:AG$1,0)-1)*IF(OR(C189="L",C189="S",C189="I"),-1,1),"")</f>
        <v>0</v>
      </c>
      <c r="AW189" s="899">
        <f t="shared" si="11"/>
        <v>0</v>
      </c>
      <c r="AX189" s="899">
        <f>INDEX(V189:AG189,1,MATCH(Parametres!$B$3,V$1:AG$1,0))*IF(OR(C189="L",C189="S",C189="I"),-1,1)</f>
        <v>0</v>
      </c>
      <c r="AY189" s="487" t="s">
        <v>337</v>
      </c>
      <c r="AZ189" s="487" t="e">
        <f>+VLOOKUP($AJ189,Data_Validation!$A:$E,5,0)</f>
        <v>#N/A</v>
      </c>
    </row>
    <row r="190" spans="36:52" ht="15" customHeight="1">
      <c r="AJ190" s="899">
        <f t="shared" si="8"/>
        <v>0</v>
      </c>
      <c r="AK190" s="899">
        <f t="shared" si="8"/>
        <v>0</v>
      </c>
      <c r="AL190" s="905">
        <f>IFERROR(INDEX(G190:R190,1,MATCH(Parametres!$B$3,G$1:R$1,0)-1)*IF(OR(F190="L",F190="S",F190="I"),-1,1),"")</f>
        <v>0</v>
      </c>
      <c r="AM190" s="905">
        <f t="shared" si="9"/>
        <v>0</v>
      </c>
      <c r="AN190" s="905">
        <f>INDEX(G190:R190,1,MATCH(Parametres!$B$3,G$1:R$1,0))*IF(OR(F190="L",F190="S",F190="I"),-1,1)</f>
        <v>0</v>
      </c>
      <c r="AO190" s="487" t="e">
        <f>+VLOOKUP($AJ190,Data_Validation!$A:$D,1,0)</f>
        <v>#N/A</v>
      </c>
      <c r="AP190" s="487" t="e">
        <f>+VLOOKUP($AJ190,Data_Validation!$A:$D,3,0)</f>
        <v>#N/A</v>
      </c>
      <c r="AQ190" s="487" t="e">
        <f>+VLOOKUP($AJ190,Data_Validation!$A:$D,4,0)</f>
        <v>#N/A</v>
      </c>
      <c r="AR190" s="487" t="s">
        <v>299</v>
      </c>
      <c r="AS190" s="487" t="e">
        <f>+VLOOKUP($AJ190,Data_Validation!$A:$E,5,0)</f>
        <v>#N/A</v>
      </c>
      <c r="AT190" s="904">
        <f t="shared" si="10"/>
        <v>0</v>
      </c>
      <c r="AU190" s="488">
        <f t="shared" si="10"/>
        <v>0</v>
      </c>
      <c r="AV190" s="899">
        <f>IFERROR(INDEX(V190:AG190,1,MATCH(Parametres!$B$3,V$1:AG$1,0)-1)*IF(OR(C190="L",C190="S",C190="I"),-1,1),"")</f>
        <v>0</v>
      </c>
      <c r="AW190" s="899">
        <f t="shared" si="11"/>
        <v>0</v>
      </c>
      <c r="AX190" s="899">
        <f>INDEX(V190:AG190,1,MATCH(Parametres!$B$3,V$1:AG$1,0))*IF(OR(C190="L",C190="S",C190="I"),-1,1)</f>
        <v>0</v>
      </c>
      <c r="AY190" s="487" t="s">
        <v>337</v>
      </c>
      <c r="AZ190" s="487" t="e">
        <f>+VLOOKUP($AJ190,Data_Validation!$A:$E,5,0)</f>
        <v>#N/A</v>
      </c>
    </row>
    <row r="191" spans="36:52" ht="15" customHeight="1">
      <c r="AJ191" s="899">
        <f t="shared" si="8"/>
        <v>0</v>
      </c>
      <c r="AK191" s="899">
        <f t="shared" si="8"/>
        <v>0</v>
      </c>
      <c r="AL191" s="905">
        <f>IFERROR(INDEX(G191:R191,1,MATCH(Parametres!$B$3,G$1:R$1,0)-1)*IF(OR(F191="L",F191="S",F191="I"),-1,1),"")</f>
        <v>0</v>
      </c>
      <c r="AM191" s="905">
        <f t="shared" si="9"/>
        <v>0</v>
      </c>
      <c r="AN191" s="905">
        <f>INDEX(G191:R191,1,MATCH(Parametres!$B$3,G$1:R$1,0))*IF(OR(F191="L",F191="S",F191="I"),-1,1)</f>
        <v>0</v>
      </c>
      <c r="AO191" s="487" t="e">
        <f>+VLOOKUP($AJ191,Data_Validation!$A:$D,1,0)</f>
        <v>#N/A</v>
      </c>
      <c r="AP191" s="487" t="e">
        <f>+VLOOKUP($AJ191,Data_Validation!$A:$D,3,0)</f>
        <v>#N/A</v>
      </c>
      <c r="AQ191" s="487" t="e">
        <f>+VLOOKUP($AJ191,Data_Validation!$A:$D,4,0)</f>
        <v>#N/A</v>
      </c>
      <c r="AR191" s="487" t="s">
        <v>299</v>
      </c>
      <c r="AS191" s="487" t="e">
        <f>+VLOOKUP($AJ191,Data_Validation!$A:$E,5,0)</f>
        <v>#N/A</v>
      </c>
      <c r="AT191" s="904">
        <f t="shared" si="10"/>
        <v>0</v>
      </c>
      <c r="AU191" s="488">
        <f t="shared" si="10"/>
        <v>0</v>
      </c>
      <c r="AV191" s="899">
        <f>IFERROR(INDEX(V191:AG191,1,MATCH(Parametres!$B$3,V$1:AG$1,0)-1)*IF(OR(C191="L",C191="S",C191="I"),-1,1),"")</f>
        <v>0</v>
      </c>
      <c r="AW191" s="899">
        <f t="shared" si="11"/>
        <v>0</v>
      </c>
      <c r="AX191" s="899">
        <f>INDEX(V191:AG191,1,MATCH(Parametres!$B$3,V$1:AG$1,0))*IF(OR(C191="L",C191="S",C191="I"),-1,1)</f>
        <v>0</v>
      </c>
      <c r="AY191" s="487" t="s">
        <v>337</v>
      </c>
      <c r="AZ191" s="487" t="e">
        <f>+VLOOKUP($AJ191,Data_Validation!$A:$E,5,0)</f>
        <v>#N/A</v>
      </c>
    </row>
    <row r="192" spans="36:52" ht="15" customHeight="1">
      <c r="AJ192" s="899">
        <f t="shared" si="8"/>
        <v>0</v>
      </c>
      <c r="AK192" s="899">
        <f t="shared" si="8"/>
        <v>0</v>
      </c>
      <c r="AL192" s="905">
        <f>IFERROR(INDEX(G192:R192,1,MATCH(Parametres!$B$3,G$1:R$1,0)-1)*IF(OR(F192="L",F192="S",F192="I"),-1,1),"")</f>
        <v>0</v>
      </c>
      <c r="AM192" s="905">
        <f t="shared" si="9"/>
        <v>0</v>
      </c>
      <c r="AN192" s="905">
        <f>INDEX(G192:R192,1,MATCH(Parametres!$B$3,G$1:R$1,0))*IF(OR(F192="L",F192="S",F192="I"),-1,1)</f>
        <v>0</v>
      </c>
      <c r="AO192" s="487" t="e">
        <f>+VLOOKUP($AJ192,Data_Validation!$A:$D,1,0)</f>
        <v>#N/A</v>
      </c>
      <c r="AP192" s="487" t="e">
        <f>+VLOOKUP($AJ192,Data_Validation!$A:$D,3,0)</f>
        <v>#N/A</v>
      </c>
      <c r="AQ192" s="487" t="e">
        <f>+VLOOKUP($AJ192,Data_Validation!$A:$D,4,0)</f>
        <v>#N/A</v>
      </c>
      <c r="AR192" s="487" t="s">
        <v>299</v>
      </c>
      <c r="AS192" s="487" t="e">
        <f>+VLOOKUP($AJ192,Data_Validation!$A:$E,5,0)</f>
        <v>#N/A</v>
      </c>
      <c r="AT192" s="904">
        <f t="shared" si="10"/>
        <v>0</v>
      </c>
      <c r="AU192" s="488">
        <f t="shared" si="10"/>
        <v>0</v>
      </c>
      <c r="AV192" s="899">
        <f>IFERROR(INDEX(V192:AG192,1,MATCH(Parametres!$B$3,V$1:AG$1,0)-1)*IF(OR(C192="L",C192="S",C192="I"),-1,1),"")</f>
        <v>0</v>
      </c>
      <c r="AW192" s="899">
        <f t="shared" si="11"/>
        <v>0</v>
      </c>
      <c r="AX192" s="899">
        <f>INDEX(V192:AG192,1,MATCH(Parametres!$B$3,V$1:AG$1,0))*IF(OR(C192="L",C192="S",C192="I"),-1,1)</f>
        <v>0</v>
      </c>
      <c r="AY192" s="487" t="s">
        <v>337</v>
      </c>
      <c r="AZ192" s="487" t="e">
        <f>+VLOOKUP($AJ192,Data_Validation!$A:$E,5,0)</f>
        <v>#N/A</v>
      </c>
    </row>
    <row r="193" spans="36:52" ht="15" customHeight="1">
      <c r="AJ193" s="899">
        <f t="shared" si="8"/>
        <v>0</v>
      </c>
      <c r="AK193" s="899">
        <f t="shared" si="8"/>
        <v>0</v>
      </c>
      <c r="AL193" s="905">
        <f>IFERROR(INDEX(G193:R193,1,MATCH(Parametres!$B$3,G$1:R$1,0)-1)*IF(OR(F193="L",F193="S",F193="I"),-1,1),"")</f>
        <v>0</v>
      </c>
      <c r="AM193" s="905">
        <f t="shared" si="9"/>
        <v>0</v>
      </c>
      <c r="AN193" s="905">
        <f>INDEX(G193:R193,1,MATCH(Parametres!$B$3,G$1:R$1,0))*IF(OR(F193="L",F193="S",F193="I"),-1,1)</f>
        <v>0</v>
      </c>
      <c r="AO193" s="487" t="e">
        <f>+VLOOKUP($AJ193,Data_Validation!$A:$D,1,0)</f>
        <v>#N/A</v>
      </c>
      <c r="AP193" s="487" t="e">
        <f>+VLOOKUP($AJ193,Data_Validation!$A:$D,3,0)</f>
        <v>#N/A</v>
      </c>
      <c r="AQ193" s="487" t="e">
        <f>+VLOOKUP($AJ193,Data_Validation!$A:$D,4,0)</f>
        <v>#N/A</v>
      </c>
      <c r="AR193" s="487" t="s">
        <v>299</v>
      </c>
      <c r="AS193" s="487" t="e">
        <f>+VLOOKUP($AJ193,Data_Validation!$A:$E,5,0)</f>
        <v>#N/A</v>
      </c>
      <c r="AT193" s="904">
        <f t="shared" si="10"/>
        <v>0</v>
      </c>
      <c r="AU193" s="488">
        <f t="shared" si="10"/>
        <v>0</v>
      </c>
      <c r="AV193" s="899">
        <f>IFERROR(INDEX(V193:AG193,1,MATCH(Parametres!$B$3,V$1:AG$1,0)-1)*IF(OR(C193="L",C193="S",C193="I"),-1,1),"")</f>
        <v>0</v>
      </c>
      <c r="AW193" s="899">
        <f t="shared" si="11"/>
        <v>0</v>
      </c>
      <c r="AX193" s="899">
        <f>INDEX(V193:AG193,1,MATCH(Parametres!$B$3,V$1:AG$1,0))*IF(OR(C193="L",C193="S",C193="I"),-1,1)</f>
        <v>0</v>
      </c>
      <c r="AY193" s="487" t="s">
        <v>337</v>
      </c>
      <c r="AZ193" s="487" t="e">
        <f>+VLOOKUP($AJ193,Data_Validation!$A:$E,5,0)</f>
        <v>#N/A</v>
      </c>
    </row>
    <row r="194" spans="36:52" ht="15.75" customHeight="1">
      <c r="AJ194" s="899">
        <f t="shared" si="8"/>
        <v>0</v>
      </c>
      <c r="AK194" s="899">
        <f t="shared" si="8"/>
        <v>0</v>
      </c>
      <c r="AL194" s="905">
        <f>IFERROR(INDEX(G194:R194,1,MATCH(Parametres!$B$3,G$1:R$1,0)-1)*IF(OR(F194="L",F194="S",F194="I"),-1,1),"")</f>
        <v>0</v>
      </c>
      <c r="AM194" s="905">
        <f t="shared" si="9"/>
        <v>0</v>
      </c>
      <c r="AN194" s="905">
        <f>INDEX(G194:R194,1,MATCH(Parametres!$B$3,G$1:R$1,0))*IF(OR(F194="L",F194="S",F194="I"),-1,1)</f>
        <v>0</v>
      </c>
      <c r="AO194" s="487" t="e">
        <f>+VLOOKUP($AJ194,Data_Validation!$A:$D,1,0)</f>
        <v>#N/A</v>
      </c>
      <c r="AP194" s="487" t="e">
        <f>+VLOOKUP($AJ194,Data_Validation!$A:$D,3,0)</f>
        <v>#N/A</v>
      </c>
      <c r="AQ194" s="487" t="e">
        <f>+VLOOKUP($AJ194,Data_Validation!$A:$D,4,0)</f>
        <v>#N/A</v>
      </c>
      <c r="AR194" s="487" t="s">
        <v>299</v>
      </c>
      <c r="AS194" s="487" t="e">
        <f>+VLOOKUP($AJ194,Data_Validation!$A:$E,5,0)</f>
        <v>#N/A</v>
      </c>
      <c r="AT194" s="904">
        <f t="shared" si="10"/>
        <v>0</v>
      </c>
      <c r="AU194" s="488">
        <f t="shared" si="10"/>
        <v>0</v>
      </c>
      <c r="AV194" s="899">
        <f>IFERROR(INDEX(V194:AG194,1,MATCH(Parametres!$B$3,V$1:AG$1,0)-1)*IF(OR(C194="L",C194="S",C194="I"),-1,1),"")</f>
        <v>0</v>
      </c>
      <c r="AW194" s="899">
        <f t="shared" si="11"/>
        <v>0</v>
      </c>
      <c r="AX194" s="899">
        <f>INDEX(V194:AG194,1,MATCH(Parametres!$B$3,V$1:AG$1,0))*IF(OR(C194="L",C194="S",C194="I"),-1,1)</f>
        <v>0</v>
      </c>
      <c r="AY194" s="487" t="s">
        <v>337</v>
      </c>
      <c r="AZ194" s="487" t="e">
        <f>+VLOOKUP($AJ194,Data_Validation!$A:$E,5,0)</f>
        <v>#N/A</v>
      </c>
    </row>
    <row r="195" spans="36:52" ht="15" customHeight="1">
      <c r="AJ195" s="899">
        <f t="shared" si="8"/>
        <v>0</v>
      </c>
      <c r="AK195" s="899">
        <f t="shared" si="8"/>
        <v>0</v>
      </c>
      <c r="AL195" s="905">
        <f>IFERROR(INDEX(G195:R195,1,MATCH(Parametres!$B$3,G$1:R$1,0)-1)*IF(OR(F195="L",F195="S",F195="I"),-1,1),"")</f>
        <v>0</v>
      </c>
      <c r="AM195" s="905">
        <f t="shared" si="9"/>
        <v>0</v>
      </c>
      <c r="AN195" s="905">
        <f>INDEX(G195:R195,1,MATCH(Parametres!$B$3,G$1:R$1,0))*IF(OR(F195="L",F195="S",F195="I"),-1,1)</f>
        <v>0</v>
      </c>
      <c r="AO195" s="487" t="e">
        <f>+VLOOKUP($AJ195,Data_Validation!$A:$D,1,0)</f>
        <v>#N/A</v>
      </c>
      <c r="AP195" s="487" t="e">
        <f>+VLOOKUP($AJ195,Data_Validation!$A:$D,3,0)</f>
        <v>#N/A</v>
      </c>
      <c r="AQ195" s="487" t="e">
        <f>+VLOOKUP($AJ195,Data_Validation!$A:$D,4,0)</f>
        <v>#N/A</v>
      </c>
      <c r="AR195" s="487" t="s">
        <v>299</v>
      </c>
      <c r="AS195" s="487" t="e">
        <f>+VLOOKUP($AJ195,Data_Validation!$A:$E,5,0)</f>
        <v>#N/A</v>
      </c>
      <c r="AT195" s="904">
        <f t="shared" si="10"/>
        <v>0</v>
      </c>
      <c r="AU195" s="488">
        <f t="shared" si="10"/>
        <v>0</v>
      </c>
      <c r="AV195" s="899">
        <f>IFERROR(INDEX(V195:AG195,1,MATCH(Parametres!$B$3,V$1:AG$1,0)-1)*IF(OR(C195="L",C195="S",C195="I"),-1,1),"")</f>
        <v>0</v>
      </c>
      <c r="AW195" s="899">
        <f t="shared" si="11"/>
        <v>0</v>
      </c>
      <c r="AX195" s="899">
        <f>INDEX(V195:AG195,1,MATCH(Parametres!$B$3,V$1:AG$1,0))*IF(OR(C195="L",C195="S",C195="I"),-1,1)</f>
        <v>0</v>
      </c>
      <c r="AY195" s="487" t="s">
        <v>337</v>
      </c>
      <c r="AZ195" s="487" t="e">
        <f>+VLOOKUP($AJ195,Data_Validation!$A:$E,5,0)</f>
        <v>#N/A</v>
      </c>
    </row>
    <row r="196" spans="36:52" ht="15" customHeight="1">
      <c r="AJ196" s="899">
        <f t="shared" ref="AJ196:AK259" si="12">C196</f>
        <v>0</v>
      </c>
      <c r="AK196" s="899">
        <f t="shared" si="12"/>
        <v>0</v>
      </c>
      <c r="AL196" s="905">
        <f>IFERROR(INDEX(G196:R196,1,MATCH(Parametres!$B$3,G$1:R$1,0)-1)*IF(OR(F196="L",F196="S",F196="I"),-1,1),"")</f>
        <v>0</v>
      </c>
      <c r="AM196" s="905">
        <f t="shared" ref="AM196:AM259" si="13">AN196-AL196</f>
        <v>0</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f t="shared" ref="AT196:AU259" si="14">C196</f>
        <v>0</v>
      </c>
      <c r="AU196" s="488">
        <f t="shared" si="14"/>
        <v>0</v>
      </c>
      <c r="AV196" s="899">
        <f>IFERROR(INDEX(V196:AG196,1,MATCH(Parametres!$B$3,V$1:AG$1,0)-1)*IF(OR(C196="L",C196="S",C196="I"),-1,1),"")</f>
        <v>0</v>
      </c>
      <c r="AW196" s="899">
        <f t="shared" ref="AW196:AW259" si="15">AX196-AV196</f>
        <v>0</v>
      </c>
      <c r="AX196" s="899">
        <f>INDEX(V196:AG196,1,MATCH(Parametres!$B$3,V$1:AG$1,0))*IF(OR(C196="L",C196="S",C196="I"),-1,1)</f>
        <v>0</v>
      </c>
      <c r="AY196" s="487" t="s">
        <v>337</v>
      </c>
      <c r="AZ196" s="487" t="e">
        <f>+VLOOKUP($AJ196,Data_Validation!$A:$E,5,0)</f>
        <v>#N/A</v>
      </c>
    </row>
    <row r="197" spans="36:52" ht="15" customHeight="1">
      <c r="AJ197" s="899">
        <f t="shared" si="12"/>
        <v>0</v>
      </c>
      <c r="AK197" s="899">
        <f t="shared" si="12"/>
        <v>0</v>
      </c>
      <c r="AL197" s="905">
        <f>IFERROR(INDEX(G197:R197,1,MATCH(Parametres!$B$3,G$1:R$1,0)-1)*IF(OR(F197="L",F197="S",F197="I"),-1,1),"")</f>
        <v>0</v>
      </c>
      <c r="AM197" s="905">
        <f t="shared" si="13"/>
        <v>0</v>
      </c>
      <c r="AN197" s="905">
        <f>INDEX(G197:R197,1,MATCH(Parametres!$B$3,G$1:R$1,0))*IF(OR(F197="L",F197="S",F197="I"),-1,1)</f>
        <v>0</v>
      </c>
      <c r="AO197" s="487" t="e">
        <f>+VLOOKUP($AJ197,Data_Validation!$A:$D,1,0)</f>
        <v>#N/A</v>
      </c>
      <c r="AP197" s="487" t="e">
        <f>+VLOOKUP($AJ197,Data_Validation!$A:$D,3,0)</f>
        <v>#N/A</v>
      </c>
      <c r="AQ197" s="487" t="e">
        <f>+VLOOKUP($AJ197,Data_Validation!$A:$D,4,0)</f>
        <v>#N/A</v>
      </c>
      <c r="AR197" s="487" t="s">
        <v>299</v>
      </c>
      <c r="AS197" s="487" t="e">
        <f>+VLOOKUP($AJ197,Data_Validation!$A:$E,5,0)</f>
        <v>#N/A</v>
      </c>
      <c r="AT197" s="904">
        <f t="shared" si="14"/>
        <v>0</v>
      </c>
      <c r="AU197" s="488">
        <f t="shared" si="14"/>
        <v>0</v>
      </c>
      <c r="AV197" s="899">
        <f>IFERROR(INDEX(V197:AG197,1,MATCH(Parametres!$B$3,V$1:AG$1,0)-1)*IF(OR(C197="L",C197="S",C197="I"),-1,1),"")</f>
        <v>0</v>
      </c>
      <c r="AW197" s="899">
        <f t="shared" si="15"/>
        <v>0</v>
      </c>
      <c r="AX197" s="899">
        <f>INDEX(V197:AG197,1,MATCH(Parametres!$B$3,V$1:AG$1,0))*IF(OR(C197="L",C197="S",C197="I"),-1,1)</f>
        <v>0</v>
      </c>
      <c r="AY197" s="487" t="s">
        <v>337</v>
      </c>
      <c r="AZ197" s="487" t="e">
        <f>+VLOOKUP($AJ197,Data_Validation!$A:$E,5,0)</f>
        <v>#N/A</v>
      </c>
    </row>
    <row r="198" spans="36:52" ht="15" customHeight="1">
      <c r="AJ198" s="899">
        <f t="shared" si="12"/>
        <v>0</v>
      </c>
      <c r="AK198" s="899">
        <f t="shared" si="12"/>
        <v>0</v>
      </c>
      <c r="AL198" s="905">
        <f>IFERROR(INDEX(G198:R198,1,MATCH(Parametres!$B$3,G$1:R$1,0)-1)*IF(OR(F198="L",F198="S",F198="I"),-1,1),"")</f>
        <v>0</v>
      </c>
      <c r="AM198" s="905">
        <f t="shared" si="13"/>
        <v>0</v>
      </c>
      <c r="AN198" s="905">
        <f>INDEX(G198:R198,1,MATCH(Parametres!$B$3,G$1:R$1,0))*IF(OR(F198="L",F198="S",F198="I"),-1,1)</f>
        <v>0</v>
      </c>
      <c r="AO198" s="487" t="e">
        <f>+VLOOKUP($AJ198,Data_Validation!$A:$D,1,0)</f>
        <v>#N/A</v>
      </c>
      <c r="AP198" s="487" t="e">
        <f>+VLOOKUP($AJ198,Data_Validation!$A:$D,3,0)</f>
        <v>#N/A</v>
      </c>
      <c r="AQ198" s="487" t="e">
        <f>+VLOOKUP($AJ198,Data_Validation!$A:$D,4,0)</f>
        <v>#N/A</v>
      </c>
      <c r="AR198" s="487" t="s">
        <v>299</v>
      </c>
      <c r="AS198" s="487" t="e">
        <f>+VLOOKUP($AJ198,Data_Validation!$A:$E,5,0)</f>
        <v>#N/A</v>
      </c>
      <c r="AT198" s="904">
        <f t="shared" si="14"/>
        <v>0</v>
      </c>
      <c r="AU198" s="488">
        <f t="shared" si="14"/>
        <v>0</v>
      </c>
      <c r="AV198" s="899">
        <f>IFERROR(INDEX(V198:AG198,1,MATCH(Parametres!$B$3,V$1:AG$1,0)-1)*IF(OR(C198="L",C198="S",C198="I"),-1,1),"")</f>
        <v>0</v>
      </c>
      <c r="AW198" s="899">
        <f t="shared" si="15"/>
        <v>0</v>
      </c>
      <c r="AX198" s="899">
        <f>INDEX(V198:AG198,1,MATCH(Parametres!$B$3,V$1:AG$1,0))*IF(OR(C198="L",C198="S",C198="I"),-1,1)</f>
        <v>0</v>
      </c>
      <c r="AY198" s="487" t="s">
        <v>337</v>
      </c>
      <c r="AZ198" s="487" t="e">
        <f>+VLOOKUP($AJ198,Data_Validation!$A:$E,5,0)</f>
        <v>#N/A</v>
      </c>
    </row>
    <row r="199" spans="36:52" ht="15.75" customHeight="1">
      <c r="AJ199" s="899">
        <f t="shared" si="12"/>
        <v>0</v>
      </c>
      <c r="AK199" s="899">
        <f t="shared" si="12"/>
        <v>0</v>
      </c>
      <c r="AL199" s="905">
        <f>IFERROR(INDEX(G199:R199,1,MATCH(Parametres!$B$3,G$1:R$1,0)-1)*IF(OR(F199="L",F199="S",F199="I"),-1,1),"")</f>
        <v>0</v>
      </c>
      <c r="AM199" s="905">
        <f t="shared" si="13"/>
        <v>0</v>
      </c>
      <c r="AN199" s="905">
        <f>INDEX(G199:R199,1,MATCH(Parametres!$B$3,G$1:R$1,0))*IF(OR(F199="L",F199="S",F199="I"),-1,1)</f>
        <v>0</v>
      </c>
      <c r="AO199" s="487" t="e">
        <f>+VLOOKUP($AJ199,Data_Validation!$A:$D,1,0)</f>
        <v>#N/A</v>
      </c>
      <c r="AP199" s="487" t="e">
        <f>+VLOOKUP($AJ199,Data_Validation!$A:$D,3,0)</f>
        <v>#N/A</v>
      </c>
      <c r="AQ199" s="487" t="e">
        <f>+VLOOKUP($AJ199,Data_Validation!$A:$D,4,0)</f>
        <v>#N/A</v>
      </c>
      <c r="AR199" s="487" t="s">
        <v>299</v>
      </c>
      <c r="AS199" s="487" t="e">
        <f>+VLOOKUP($AJ199,Data_Validation!$A:$E,5,0)</f>
        <v>#N/A</v>
      </c>
      <c r="AT199" s="904">
        <f t="shared" si="14"/>
        <v>0</v>
      </c>
      <c r="AU199" s="488">
        <f t="shared" si="14"/>
        <v>0</v>
      </c>
      <c r="AV199" s="899">
        <f>IFERROR(INDEX(V199:AG199,1,MATCH(Parametres!$B$3,V$1:AG$1,0)-1)*IF(OR(C199="L",C199="S",C199="I"),-1,1),"")</f>
        <v>0</v>
      </c>
      <c r="AW199" s="899">
        <f t="shared" si="15"/>
        <v>0</v>
      </c>
      <c r="AX199" s="899">
        <f>INDEX(V199:AG199,1,MATCH(Parametres!$B$3,V$1:AG$1,0))*IF(OR(C199="L",C199="S",C199="I"),-1,1)</f>
        <v>0</v>
      </c>
      <c r="AY199" s="487" t="s">
        <v>337</v>
      </c>
      <c r="AZ199" s="487" t="e">
        <f>+VLOOKUP($AJ199,Data_Validation!$A:$E,5,0)</f>
        <v>#N/A</v>
      </c>
    </row>
    <row r="200" spans="36:52" ht="15" customHeight="1">
      <c r="AJ200" s="899">
        <f t="shared" si="12"/>
        <v>0</v>
      </c>
      <c r="AK200" s="899">
        <f t="shared" si="12"/>
        <v>0</v>
      </c>
      <c r="AL200" s="905">
        <f>IFERROR(INDEX(G200:R200,1,MATCH(Parametres!$B$3,G$1:R$1,0)-1)*IF(OR(F200="L",F200="S",F200="I"),-1,1),"")</f>
        <v>0</v>
      </c>
      <c r="AM200" s="905">
        <f t="shared" si="13"/>
        <v>0</v>
      </c>
      <c r="AN200" s="905">
        <f>INDEX(G200:R200,1,MATCH(Parametres!$B$3,G$1:R$1,0))*IF(OR(F200="L",F200="S",F200="I"),-1,1)</f>
        <v>0</v>
      </c>
      <c r="AO200" s="487" t="e">
        <f>+VLOOKUP($AJ200,Data_Validation!$A:$D,1,0)</f>
        <v>#N/A</v>
      </c>
      <c r="AP200" s="487" t="e">
        <f>+VLOOKUP($AJ200,Data_Validation!$A:$D,3,0)</f>
        <v>#N/A</v>
      </c>
      <c r="AQ200" s="487" t="e">
        <f>+VLOOKUP($AJ200,Data_Validation!$A:$D,4,0)</f>
        <v>#N/A</v>
      </c>
      <c r="AR200" s="487" t="s">
        <v>299</v>
      </c>
      <c r="AS200" s="487" t="e">
        <f>+VLOOKUP($AJ200,Data_Validation!$A:$E,5,0)</f>
        <v>#N/A</v>
      </c>
      <c r="AT200" s="904">
        <f t="shared" si="14"/>
        <v>0</v>
      </c>
      <c r="AU200" s="488">
        <f t="shared" si="14"/>
        <v>0</v>
      </c>
      <c r="AV200" s="899">
        <f>IFERROR(INDEX(V200:AG200,1,MATCH(Parametres!$B$3,V$1:AG$1,0)-1)*IF(OR(C200="L",C200="S",C200="I"),-1,1),"")</f>
        <v>0</v>
      </c>
      <c r="AW200" s="899">
        <f t="shared" si="15"/>
        <v>0</v>
      </c>
      <c r="AX200" s="899">
        <f>INDEX(V200:AG200,1,MATCH(Parametres!$B$3,V$1:AG$1,0))*IF(OR(C200="L",C200="S",C200="I"),-1,1)</f>
        <v>0</v>
      </c>
      <c r="AY200" s="487" t="s">
        <v>337</v>
      </c>
      <c r="AZ200" s="487" t="e">
        <f>+VLOOKUP($AJ200,Data_Validation!$A:$E,5,0)</f>
        <v>#N/A</v>
      </c>
    </row>
    <row r="201" spans="36:52" ht="15" customHeight="1">
      <c r="AJ201" s="899">
        <f t="shared" si="12"/>
        <v>0</v>
      </c>
      <c r="AK201" s="899">
        <f t="shared" si="12"/>
        <v>0</v>
      </c>
      <c r="AL201" s="905">
        <f>IFERROR(INDEX(G201:R201,1,MATCH(Parametres!$B$3,G$1:R$1,0)-1)*IF(OR(F201="L",F201="S",F201="I"),-1,1),"")</f>
        <v>0</v>
      </c>
      <c r="AM201" s="905">
        <f t="shared" si="13"/>
        <v>0</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f t="shared" si="14"/>
        <v>0</v>
      </c>
      <c r="AU201" s="488">
        <f t="shared" si="14"/>
        <v>0</v>
      </c>
      <c r="AV201" s="899">
        <f>IFERROR(INDEX(V201:AG201,1,MATCH(Parametres!$B$3,V$1:AG$1,0)-1)*IF(OR(C201="L",C201="S",C201="I"),-1,1),"")</f>
        <v>0</v>
      </c>
      <c r="AW201" s="899">
        <f t="shared" si="15"/>
        <v>0</v>
      </c>
      <c r="AX201" s="899">
        <f>INDEX(V201:AG201,1,MATCH(Parametres!$B$3,V$1:AG$1,0))*IF(OR(C201="L",C201="S",C201="I"),-1,1)</f>
        <v>0</v>
      </c>
      <c r="AY201" s="487" t="s">
        <v>337</v>
      </c>
      <c r="AZ201" s="487" t="e">
        <f>+VLOOKUP($AJ201,Data_Validation!$A:$E,5,0)</f>
        <v>#N/A</v>
      </c>
    </row>
    <row r="202" spans="36:52" ht="15" customHeight="1">
      <c r="AJ202" s="899">
        <f t="shared" si="12"/>
        <v>0</v>
      </c>
      <c r="AK202" s="899">
        <f t="shared" si="12"/>
        <v>0</v>
      </c>
      <c r="AL202" s="905">
        <f>IFERROR(INDEX(G202:R202,1,MATCH(Parametres!$B$3,G$1:R$1,0)-1)*IF(OR(F202="L",F202="S",F202="I"),-1,1),"")</f>
        <v>0</v>
      </c>
      <c r="AM202" s="905">
        <f t="shared" si="13"/>
        <v>0</v>
      </c>
      <c r="AN202" s="905">
        <f>INDEX(G202:R202,1,MATCH(Parametres!$B$3,G$1:R$1,0))*IF(OR(F202="L",F202="S",F202="I"),-1,1)</f>
        <v>0</v>
      </c>
      <c r="AO202" s="487" t="e">
        <f>+VLOOKUP($AJ202,Data_Validation!$A:$D,1,0)</f>
        <v>#N/A</v>
      </c>
      <c r="AP202" s="487" t="e">
        <f>+VLOOKUP($AJ202,Data_Validation!$A:$D,3,0)</f>
        <v>#N/A</v>
      </c>
      <c r="AQ202" s="487" t="e">
        <f>+VLOOKUP($AJ202,Data_Validation!$A:$D,4,0)</f>
        <v>#N/A</v>
      </c>
      <c r="AR202" s="487" t="s">
        <v>299</v>
      </c>
      <c r="AS202" s="487" t="e">
        <f>+VLOOKUP($AJ202,Data_Validation!$A:$E,5,0)</f>
        <v>#N/A</v>
      </c>
      <c r="AT202" s="904">
        <f t="shared" si="14"/>
        <v>0</v>
      </c>
      <c r="AU202" s="488">
        <f t="shared" si="14"/>
        <v>0</v>
      </c>
      <c r="AV202" s="899">
        <f>IFERROR(INDEX(V202:AG202,1,MATCH(Parametres!$B$3,V$1:AG$1,0)-1)*IF(OR(C202="L",C202="S",C202="I"),-1,1),"")</f>
        <v>0</v>
      </c>
      <c r="AW202" s="899">
        <f t="shared" si="15"/>
        <v>0</v>
      </c>
      <c r="AX202" s="899">
        <f>INDEX(V202:AG202,1,MATCH(Parametres!$B$3,V$1:AG$1,0))*IF(OR(C202="L",C202="S",C202="I"),-1,1)</f>
        <v>0</v>
      </c>
      <c r="AY202" s="487" t="s">
        <v>337</v>
      </c>
      <c r="AZ202" s="487" t="e">
        <f>+VLOOKUP($AJ202,Data_Validation!$A:$E,5,0)</f>
        <v>#N/A</v>
      </c>
    </row>
    <row r="203" spans="36:52" ht="15" customHeight="1">
      <c r="AJ203" s="899">
        <f t="shared" si="12"/>
        <v>0</v>
      </c>
      <c r="AK203" s="899">
        <f t="shared" si="12"/>
        <v>0</v>
      </c>
      <c r="AL203" s="905">
        <f>IFERROR(INDEX(G203:R203,1,MATCH(Parametres!$B$3,G$1:R$1,0)-1)*IF(OR(F203="L",F203="S",F203="I"),-1,1),"")</f>
        <v>0</v>
      </c>
      <c r="AM203" s="905">
        <f t="shared" si="13"/>
        <v>0</v>
      </c>
      <c r="AN203" s="905">
        <f>INDEX(G203:R203,1,MATCH(Parametres!$B$3,G$1:R$1,0))*IF(OR(F203="L",F203="S",F203="I"),-1,1)</f>
        <v>0</v>
      </c>
      <c r="AO203" s="487" t="e">
        <f>+VLOOKUP($AJ203,Data_Validation!$A:$D,1,0)</f>
        <v>#N/A</v>
      </c>
      <c r="AP203" s="487" t="e">
        <f>+VLOOKUP($AJ203,Data_Validation!$A:$D,3,0)</f>
        <v>#N/A</v>
      </c>
      <c r="AQ203" s="487" t="e">
        <f>+VLOOKUP($AJ203,Data_Validation!$A:$D,4,0)</f>
        <v>#N/A</v>
      </c>
      <c r="AR203" s="487" t="s">
        <v>299</v>
      </c>
      <c r="AS203" s="487" t="e">
        <f>+VLOOKUP($AJ203,Data_Validation!$A:$E,5,0)</f>
        <v>#N/A</v>
      </c>
      <c r="AT203" s="904">
        <f t="shared" si="14"/>
        <v>0</v>
      </c>
      <c r="AU203" s="488">
        <f t="shared" si="14"/>
        <v>0</v>
      </c>
      <c r="AV203" s="899">
        <f>IFERROR(INDEX(V203:AG203,1,MATCH(Parametres!$B$3,V$1:AG$1,0)-1)*IF(OR(C203="L",C203="S",C203="I"),-1,1),"")</f>
        <v>0</v>
      </c>
      <c r="AW203" s="899">
        <f t="shared" si="15"/>
        <v>0</v>
      </c>
      <c r="AX203" s="899">
        <f>INDEX(V203:AG203,1,MATCH(Parametres!$B$3,V$1:AG$1,0))*IF(OR(C203="L",C203="S",C203="I"),-1,1)</f>
        <v>0</v>
      </c>
      <c r="AY203" s="487" t="s">
        <v>337</v>
      </c>
      <c r="AZ203" s="487" t="e">
        <f>+VLOOKUP($AJ203,Data_Validation!$A:$E,5,0)</f>
        <v>#N/A</v>
      </c>
    </row>
    <row r="204" spans="36:52" ht="15" customHeight="1">
      <c r="AJ204" s="899">
        <f t="shared" si="12"/>
        <v>0</v>
      </c>
      <c r="AK204" s="899">
        <f t="shared" si="12"/>
        <v>0</v>
      </c>
      <c r="AL204" s="905">
        <f>IFERROR(INDEX(G204:R204,1,MATCH(Parametres!$B$3,G$1:R$1,0)-1)*IF(OR(F204="L",F204="S",F204="I"),-1,1),"")</f>
        <v>0</v>
      </c>
      <c r="AM204" s="905">
        <f t="shared" si="13"/>
        <v>0</v>
      </c>
      <c r="AN204" s="905">
        <f>INDEX(G204:R204,1,MATCH(Parametres!$B$3,G$1:R$1,0))*IF(OR(F204="L",F204="S",F204="I"),-1,1)</f>
        <v>0</v>
      </c>
      <c r="AO204" s="487" t="e">
        <f>+VLOOKUP($AJ204,Data_Validation!$A:$D,1,0)</f>
        <v>#N/A</v>
      </c>
      <c r="AP204" s="487" t="e">
        <f>+VLOOKUP($AJ204,Data_Validation!$A:$D,3,0)</f>
        <v>#N/A</v>
      </c>
      <c r="AQ204" s="487" t="e">
        <f>+VLOOKUP($AJ204,Data_Validation!$A:$D,4,0)</f>
        <v>#N/A</v>
      </c>
      <c r="AR204" s="487" t="s">
        <v>299</v>
      </c>
      <c r="AS204" s="487" t="e">
        <f>+VLOOKUP($AJ204,Data_Validation!$A:$E,5,0)</f>
        <v>#N/A</v>
      </c>
      <c r="AT204" s="904">
        <f t="shared" si="14"/>
        <v>0</v>
      </c>
      <c r="AU204" s="488">
        <f t="shared" si="14"/>
        <v>0</v>
      </c>
      <c r="AV204" s="899">
        <f>IFERROR(INDEX(V204:AG204,1,MATCH(Parametres!$B$3,V$1:AG$1,0)-1)*IF(OR(C204="L",C204="S",C204="I"),-1,1),"")</f>
        <v>0</v>
      </c>
      <c r="AW204" s="899">
        <f t="shared" si="15"/>
        <v>0</v>
      </c>
      <c r="AX204" s="899">
        <f>INDEX(V204:AG204,1,MATCH(Parametres!$B$3,V$1:AG$1,0))*IF(OR(C204="L",C204="S",C204="I"),-1,1)</f>
        <v>0</v>
      </c>
      <c r="AY204" s="487" t="s">
        <v>337</v>
      </c>
      <c r="AZ204" s="487" t="e">
        <f>+VLOOKUP($AJ204,Data_Validation!$A:$E,5,0)</f>
        <v>#N/A</v>
      </c>
    </row>
    <row r="205" spans="36:52" ht="15" customHeight="1">
      <c r="AJ205" s="899">
        <f t="shared" si="12"/>
        <v>0</v>
      </c>
      <c r="AK205" s="899">
        <f t="shared" si="12"/>
        <v>0</v>
      </c>
      <c r="AL205" s="905">
        <f>IFERROR(INDEX(G205:R205,1,MATCH(Parametres!$B$3,G$1:R$1,0)-1)*IF(OR(F205="L",F205="S",F205="I"),-1,1),"")</f>
        <v>0</v>
      </c>
      <c r="AM205" s="905">
        <f t="shared" si="13"/>
        <v>0</v>
      </c>
      <c r="AN205" s="905">
        <f>INDEX(G205:R205,1,MATCH(Parametres!$B$3,G$1:R$1,0))*IF(OR(F205="L",F205="S",F205="I"),-1,1)</f>
        <v>0</v>
      </c>
      <c r="AO205" s="487" t="e">
        <f>+VLOOKUP($AJ205,Data_Validation!$A:$D,1,0)</f>
        <v>#N/A</v>
      </c>
      <c r="AP205" s="487" t="e">
        <f>+VLOOKUP($AJ205,Data_Validation!$A:$D,3,0)</f>
        <v>#N/A</v>
      </c>
      <c r="AQ205" s="487" t="e">
        <f>+VLOOKUP($AJ205,Data_Validation!$A:$D,4,0)</f>
        <v>#N/A</v>
      </c>
      <c r="AR205" s="487" t="s">
        <v>299</v>
      </c>
      <c r="AS205" s="487" t="e">
        <f>+VLOOKUP($AJ205,Data_Validation!$A:$E,5,0)</f>
        <v>#N/A</v>
      </c>
      <c r="AT205" s="904">
        <f t="shared" si="14"/>
        <v>0</v>
      </c>
      <c r="AU205" s="488">
        <f t="shared" si="14"/>
        <v>0</v>
      </c>
      <c r="AV205" s="899">
        <f>IFERROR(INDEX(V205:AG205,1,MATCH(Parametres!$B$3,V$1:AG$1,0)-1)*IF(OR(C205="L",C205="S",C205="I"),-1,1),"")</f>
        <v>0</v>
      </c>
      <c r="AW205" s="899">
        <f t="shared" si="15"/>
        <v>0</v>
      </c>
      <c r="AX205" s="899">
        <f>INDEX(V205:AG205,1,MATCH(Parametres!$B$3,V$1:AG$1,0))*IF(OR(C205="L",C205="S",C205="I"),-1,1)</f>
        <v>0</v>
      </c>
      <c r="AY205" s="487" t="s">
        <v>337</v>
      </c>
      <c r="AZ205" s="487" t="e">
        <f>+VLOOKUP($AJ205,Data_Validation!$A:$E,5,0)</f>
        <v>#N/A</v>
      </c>
    </row>
    <row r="206" spans="36:52" ht="15.75" customHeight="1">
      <c r="AJ206" s="899">
        <f t="shared" si="12"/>
        <v>0</v>
      </c>
      <c r="AK206" s="899">
        <f t="shared" si="12"/>
        <v>0</v>
      </c>
      <c r="AL206" s="905">
        <f>IFERROR(INDEX(G206:R206,1,MATCH(Parametres!$B$3,G$1:R$1,0)-1)*IF(OR(F206="L",F206="S",F206="I"),-1,1),"")</f>
        <v>0</v>
      </c>
      <c r="AM206" s="905">
        <f t="shared" si="13"/>
        <v>0</v>
      </c>
      <c r="AN206" s="905">
        <f>INDEX(G206:R206,1,MATCH(Parametres!$B$3,G$1:R$1,0))*IF(OR(F206="L",F206="S",F206="I"),-1,1)</f>
        <v>0</v>
      </c>
      <c r="AO206" s="487" t="e">
        <f>+VLOOKUP($AJ206,Data_Validation!$A:$D,1,0)</f>
        <v>#N/A</v>
      </c>
      <c r="AP206" s="487" t="e">
        <f>+VLOOKUP($AJ206,Data_Validation!$A:$D,3,0)</f>
        <v>#N/A</v>
      </c>
      <c r="AQ206" s="487" t="e">
        <f>+VLOOKUP($AJ206,Data_Validation!$A:$D,4,0)</f>
        <v>#N/A</v>
      </c>
      <c r="AR206" s="487" t="s">
        <v>299</v>
      </c>
      <c r="AS206" s="487" t="e">
        <f>+VLOOKUP($AJ206,Data_Validation!$A:$E,5,0)</f>
        <v>#N/A</v>
      </c>
      <c r="AT206" s="904">
        <f t="shared" si="14"/>
        <v>0</v>
      </c>
      <c r="AU206" s="488">
        <f t="shared" si="14"/>
        <v>0</v>
      </c>
      <c r="AV206" s="899">
        <f>IFERROR(INDEX(V206:AG206,1,MATCH(Parametres!$B$3,V$1:AG$1,0)-1)*IF(OR(C206="L",C206="S",C206="I"),-1,1),"")</f>
        <v>0</v>
      </c>
      <c r="AW206" s="899">
        <f t="shared" si="15"/>
        <v>0</v>
      </c>
      <c r="AX206" s="899">
        <f>INDEX(V206:AG206,1,MATCH(Parametres!$B$3,V$1:AG$1,0))*IF(OR(C206="L",C206="S",C206="I"),-1,1)</f>
        <v>0</v>
      </c>
      <c r="AY206" s="487" t="s">
        <v>337</v>
      </c>
      <c r="AZ206" s="487" t="e">
        <f>+VLOOKUP($AJ206,Data_Validation!$A:$E,5,0)</f>
        <v>#N/A</v>
      </c>
    </row>
    <row r="207" spans="36:52" ht="15" customHeight="1">
      <c r="AJ207" s="899">
        <f t="shared" si="12"/>
        <v>0</v>
      </c>
      <c r="AK207" s="899">
        <f t="shared" si="12"/>
        <v>0</v>
      </c>
      <c r="AL207" s="905">
        <f>IFERROR(INDEX(G207:R207,1,MATCH(Parametres!$B$3,G$1:R$1,0)-1)*IF(OR(F207="L",F207="S",F207="I"),-1,1),"")</f>
        <v>0</v>
      </c>
      <c r="AM207" s="905">
        <f t="shared" si="13"/>
        <v>0</v>
      </c>
      <c r="AN207" s="905">
        <f>INDEX(G207:R207,1,MATCH(Parametres!$B$3,G$1:R$1,0))*IF(OR(F207="L",F207="S",F207="I"),-1,1)</f>
        <v>0</v>
      </c>
      <c r="AO207" s="487" t="e">
        <f>+VLOOKUP($AJ207,Data_Validation!$A:$D,1,0)</f>
        <v>#N/A</v>
      </c>
      <c r="AP207" s="487" t="e">
        <f>+VLOOKUP($AJ207,Data_Validation!$A:$D,3,0)</f>
        <v>#N/A</v>
      </c>
      <c r="AQ207" s="487" t="e">
        <f>+VLOOKUP($AJ207,Data_Validation!$A:$D,4,0)</f>
        <v>#N/A</v>
      </c>
      <c r="AR207" s="487" t="s">
        <v>299</v>
      </c>
      <c r="AS207" s="487" t="e">
        <f>+VLOOKUP($AJ207,Data_Validation!$A:$E,5,0)</f>
        <v>#N/A</v>
      </c>
      <c r="AT207" s="904">
        <f t="shared" si="14"/>
        <v>0</v>
      </c>
      <c r="AU207" s="488">
        <f t="shared" si="14"/>
        <v>0</v>
      </c>
      <c r="AV207" s="899">
        <f>IFERROR(INDEX(V207:AG207,1,MATCH(Parametres!$B$3,V$1:AG$1,0)-1)*IF(OR(C207="L",C207="S",C207="I"),-1,1),"")</f>
        <v>0</v>
      </c>
      <c r="AW207" s="899">
        <f t="shared" si="15"/>
        <v>0</v>
      </c>
      <c r="AX207" s="899">
        <f>INDEX(V207:AG207,1,MATCH(Parametres!$B$3,V$1:AG$1,0))*IF(OR(C207="L",C207="S",C207="I"),-1,1)</f>
        <v>0</v>
      </c>
      <c r="AY207" s="487" t="s">
        <v>337</v>
      </c>
      <c r="AZ207" s="487" t="e">
        <f>+VLOOKUP($AJ207,Data_Validation!$A:$E,5,0)</f>
        <v>#N/A</v>
      </c>
    </row>
    <row r="208" spans="36:52" ht="15" customHeight="1">
      <c r="AJ208" s="899">
        <f t="shared" si="12"/>
        <v>0</v>
      </c>
      <c r="AK208" s="899">
        <f t="shared" si="12"/>
        <v>0</v>
      </c>
      <c r="AL208" s="905">
        <f>IFERROR(INDEX(G208:R208,1,MATCH(Parametres!$B$3,G$1:R$1,0)-1)*IF(OR(F208="L",F208="S",F208="I"),-1,1),"")</f>
        <v>0</v>
      </c>
      <c r="AM208" s="905">
        <f t="shared" si="13"/>
        <v>0</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f t="shared" si="14"/>
        <v>0</v>
      </c>
      <c r="AU208" s="488">
        <f t="shared" si="14"/>
        <v>0</v>
      </c>
      <c r="AV208" s="899">
        <f>IFERROR(INDEX(V208:AG208,1,MATCH(Parametres!$B$3,V$1:AG$1,0)-1)*IF(OR(C208="L",C208="S",C208="I"),-1,1),"")</f>
        <v>0</v>
      </c>
      <c r="AW208" s="899">
        <f t="shared" si="15"/>
        <v>0</v>
      </c>
      <c r="AX208" s="899">
        <f>INDEX(V208:AG208,1,MATCH(Parametres!$B$3,V$1:AG$1,0))*IF(OR(C208="L",C208="S",C208="I"),-1,1)</f>
        <v>0</v>
      </c>
      <c r="AY208" s="487" t="s">
        <v>337</v>
      </c>
      <c r="AZ208" s="487" t="e">
        <f>+VLOOKUP($AJ208,Data_Validation!$A:$E,5,0)</f>
        <v>#N/A</v>
      </c>
    </row>
    <row r="209" spans="36:52" ht="15" customHeight="1">
      <c r="AJ209" s="899">
        <f t="shared" si="12"/>
        <v>0</v>
      </c>
      <c r="AK209" s="899">
        <f t="shared" si="12"/>
        <v>0</v>
      </c>
      <c r="AL209" s="905">
        <f>IFERROR(INDEX(G209:R209,1,MATCH(Parametres!$B$3,G$1:R$1,0)-1)*IF(OR(F209="L",F209="S",F209="I"),-1,1),"")</f>
        <v>0</v>
      </c>
      <c r="AM209" s="905">
        <f t="shared" si="13"/>
        <v>0</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f t="shared" si="14"/>
        <v>0</v>
      </c>
      <c r="AU209" s="488">
        <f t="shared" si="14"/>
        <v>0</v>
      </c>
      <c r="AV209" s="899">
        <f>IFERROR(INDEX(V209:AG209,1,MATCH(Parametres!$B$3,V$1:AG$1,0)-1)*IF(OR(C209="L",C209="S",C209="I"),-1,1),"")</f>
        <v>0</v>
      </c>
      <c r="AW209" s="899">
        <f t="shared" si="15"/>
        <v>0</v>
      </c>
      <c r="AX209" s="899">
        <f>INDEX(V209:AG209,1,MATCH(Parametres!$B$3,V$1:AG$1,0))*IF(OR(C209="L",C209="S",C209="I"),-1,1)</f>
        <v>0</v>
      </c>
      <c r="AY209" s="487" t="s">
        <v>337</v>
      </c>
      <c r="AZ209" s="487" t="e">
        <f>+VLOOKUP($AJ209,Data_Validation!$A:$E,5,0)</f>
        <v>#N/A</v>
      </c>
    </row>
    <row r="210" spans="36:52" ht="15" customHeight="1">
      <c r="AJ210" s="899">
        <f t="shared" si="12"/>
        <v>0</v>
      </c>
      <c r="AK210" s="899">
        <f t="shared" si="12"/>
        <v>0</v>
      </c>
      <c r="AL210" s="905">
        <f>IFERROR(INDEX(G210:R210,1,MATCH(Parametres!$B$3,G$1:R$1,0)-1)*IF(OR(F210="L",F210="S",F210="I"),-1,1),"")</f>
        <v>0</v>
      </c>
      <c r="AM210" s="905">
        <f t="shared" si="13"/>
        <v>0</v>
      </c>
      <c r="AN210" s="905">
        <f>INDEX(G210:R210,1,MATCH(Parametres!$B$3,G$1:R$1,0))*IF(OR(F210="L",F210="S",F210="I"),-1,1)</f>
        <v>0</v>
      </c>
      <c r="AO210" s="487" t="e">
        <f>+VLOOKUP($AJ210,Data_Validation!$A:$D,1,0)</f>
        <v>#N/A</v>
      </c>
      <c r="AP210" s="487" t="e">
        <f>+VLOOKUP($AJ210,Data_Validation!$A:$D,3,0)</f>
        <v>#N/A</v>
      </c>
      <c r="AQ210" s="487" t="e">
        <f>+VLOOKUP($AJ210,Data_Validation!$A:$D,4,0)</f>
        <v>#N/A</v>
      </c>
      <c r="AR210" s="487" t="s">
        <v>299</v>
      </c>
      <c r="AS210" s="487" t="e">
        <f>+VLOOKUP($AJ210,Data_Validation!$A:$E,5,0)</f>
        <v>#N/A</v>
      </c>
      <c r="AT210" s="904">
        <f t="shared" si="14"/>
        <v>0</v>
      </c>
      <c r="AU210" s="488">
        <f t="shared" si="14"/>
        <v>0</v>
      </c>
      <c r="AV210" s="899">
        <f>IFERROR(INDEX(V210:AG210,1,MATCH(Parametres!$B$3,V$1:AG$1,0)-1)*IF(OR(C210="L",C210="S",C210="I"),-1,1),"")</f>
        <v>0</v>
      </c>
      <c r="AW210" s="899">
        <f t="shared" si="15"/>
        <v>0</v>
      </c>
      <c r="AX210" s="899">
        <f>INDEX(V210:AG210,1,MATCH(Parametres!$B$3,V$1:AG$1,0))*IF(OR(C210="L",C210="S",C210="I"),-1,1)</f>
        <v>0</v>
      </c>
      <c r="AY210" s="487" t="s">
        <v>337</v>
      </c>
      <c r="AZ210" s="487" t="e">
        <f>+VLOOKUP($AJ210,Data_Validation!$A:$E,5,0)</f>
        <v>#N/A</v>
      </c>
    </row>
    <row r="211" spans="36:52" ht="15.75" customHeight="1">
      <c r="AJ211" s="899">
        <f t="shared" si="12"/>
        <v>0</v>
      </c>
      <c r="AK211" s="899">
        <f t="shared" si="12"/>
        <v>0</v>
      </c>
      <c r="AL211" s="905">
        <f>IFERROR(INDEX(G211:R211,1,MATCH(Parametres!$B$3,G$1:R$1,0)-1)*IF(OR(F211="L",F211="S",F211="I"),-1,1),"")</f>
        <v>0</v>
      </c>
      <c r="AM211" s="905">
        <f t="shared" si="13"/>
        <v>0</v>
      </c>
      <c r="AN211" s="905">
        <f>INDEX(G211:R211,1,MATCH(Parametres!$B$3,G$1:R$1,0))*IF(OR(F211="L",F211="S",F211="I"),-1,1)</f>
        <v>0</v>
      </c>
      <c r="AO211" s="487" t="e">
        <f>+VLOOKUP($AJ211,Data_Validation!$A:$D,1,0)</f>
        <v>#N/A</v>
      </c>
      <c r="AP211" s="487" t="e">
        <f>+VLOOKUP($AJ211,Data_Validation!$A:$D,3,0)</f>
        <v>#N/A</v>
      </c>
      <c r="AQ211" s="487" t="e">
        <f>+VLOOKUP($AJ211,Data_Validation!$A:$D,4,0)</f>
        <v>#N/A</v>
      </c>
      <c r="AR211" s="487" t="s">
        <v>299</v>
      </c>
      <c r="AS211" s="487" t="e">
        <f>+VLOOKUP($AJ211,Data_Validation!$A:$E,5,0)</f>
        <v>#N/A</v>
      </c>
      <c r="AT211" s="904">
        <f t="shared" si="14"/>
        <v>0</v>
      </c>
      <c r="AU211" s="488">
        <f t="shared" si="14"/>
        <v>0</v>
      </c>
      <c r="AV211" s="899">
        <f>IFERROR(INDEX(V211:AG211,1,MATCH(Parametres!$B$3,V$1:AG$1,0)-1)*IF(OR(C211="L",C211="S",C211="I"),-1,1),"")</f>
        <v>0</v>
      </c>
      <c r="AW211" s="899">
        <f t="shared" si="15"/>
        <v>0</v>
      </c>
      <c r="AX211" s="899">
        <f>INDEX(V211:AG211,1,MATCH(Parametres!$B$3,V$1:AG$1,0))*IF(OR(C211="L",C211="S",C211="I"),-1,1)</f>
        <v>0</v>
      </c>
      <c r="AY211" s="487" t="s">
        <v>337</v>
      </c>
      <c r="AZ211" s="487" t="e">
        <f>+VLOOKUP($AJ211,Data_Validation!$A:$E,5,0)</f>
        <v>#N/A</v>
      </c>
    </row>
    <row r="212" spans="36:52" ht="15" customHeight="1">
      <c r="AJ212" s="899">
        <f t="shared" si="12"/>
        <v>0</v>
      </c>
      <c r="AK212" s="899">
        <f t="shared" si="12"/>
        <v>0</v>
      </c>
      <c r="AL212" s="905">
        <f>IFERROR(INDEX(G212:R212,1,MATCH(Parametres!$B$3,G$1:R$1,0)-1)*IF(OR(F212="L",F212="S",F212="I"),-1,1),"")</f>
        <v>0</v>
      </c>
      <c r="AM212" s="905">
        <f t="shared" si="13"/>
        <v>0</v>
      </c>
      <c r="AN212" s="905">
        <f>INDEX(G212:R212,1,MATCH(Parametres!$B$3,G$1:R$1,0))*IF(OR(F212="L",F212="S",F212="I"),-1,1)</f>
        <v>0</v>
      </c>
      <c r="AO212" s="487" t="e">
        <f>+VLOOKUP($AJ212,Data_Validation!$A:$D,1,0)</f>
        <v>#N/A</v>
      </c>
      <c r="AP212" s="487" t="e">
        <f>+VLOOKUP($AJ212,Data_Validation!$A:$D,3,0)</f>
        <v>#N/A</v>
      </c>
      <c r="AQ212" s="487" t="e">
        <f>+VLOOKUP($AJ212,Data_Validation!$A:$D,4,0)</f>
        <v>#N/A</v>
      </c>
      <c r="AR212" s="487" t="s">
        <v>299</v>
      </c>
      <c r="AS212" s="487" t="e">
        <f>+VLOOKUP($AJ212,Data_Validation!$A:$E,5,0)</f>
        <v>#N/A</v>
      </c>
      <c r="AT212" s="904">
        <f t="shared" si="14"/>
        <v>0</v>
      </c>
      <c r="AU212" s="488">
        <f t="shared" si="14"/>
        <v>0</v>
      </c>
      <c r="AV212" s="899">
        <f>IFERROR(INDEX(V212:AG212,1,MATCH(Parametres!$B$3,V$1:AG$1,0)-1)*IF(OR(C212="L",C212="S",C212="I"),-1,1),"")</f>
        <v>0</v>
      </c>
      <c r="AW212" s="899">
        <f t="shared" si="15"/>
        <v>0</v>
      </c>
      <c r="AX212" s="899">
        <f>INDEX(V212:AG212,1,MATCH(Parametres!$B$3,V$1:AG$1,0))*IF(OR(C212="L",C212="S",C212="I"),-1,1)</f>
        <v>0</v>
      </c>
      <c r="AY212" s="487" t="s">
        <v>337</v>
      </c>
      <c r="AZ212" s="487" t="e">
        <f>+VLOOKUP($AJ212,Data_Validation!$A:$E,5,0)</f>
        <v>#N/A</v>
      </c>
    </row>
    <row r="213" spans="36:52" ht="15" customHeight="1">
      <c r="AJ213" s="899">
        <f t="shared" si="12"/>
        <v>0</v>
      </c>
      <c r="AK213" s="899">
        <f t="shared" si="12"/>
        <v>0</v>
      </c>
      <c r="AL213" s="905">
        <f>IFERROR(INDEX(G213:R213,1,MATCH(Parametres!$B$3,G$1:R$1,0)-1)*IF(OR(F213="L",F213="S",F213="I"),-1,1),"")</f>
        <v>0</v>
      </c>
      <c r="AM213" s="905">
        <f t="shared" si="13"/>
        <v>0</v>
      </c>
      <c r="AN213" s="905">
        <f>INDEX(G213:R213,1,MATCH(Parametres!$B$3,G$1:R$1,0))*IF(OR(F213="L",F213="S",F213="I"),-1,1)</f>
        <v>0</v>
      </c>
      <c r="AO213" s="487" t="e">
        <f>+VLOOKUP($AJ213,Data_Validation!$A:$D,1,0)</f>
        <v>#N/A</v>
      </c>
      <c r="AP213" s="487" t="e">
        <f>+VLOOKUP($AJ213,Data_Validation!$A:$D,3,0)</f>
        <v>#N/A</v>
      </c>
      <c r="AQ213" s="487" t="e">
        <f>+VLOOKUP($AJ213,Data_Validation!$A:$D,4,0)</f>
        <v>#N/A</v>
      </c>
      <c r="AR213" s="487" t="s">
        <v>299</v>
      </c>
      <c r="AS213" s="487" t="e">
        <f>+VLOOKUP($AJ213,Data_Validation!$A:$E,5,0)</f>
        <v>#N/A</v>
      </c>
      <c r="AT213" s="904">
        <f t="shared" si="14"/>
        <v>0</v>
      </c>
      <c r="AU213" s="488">
        <f t="shared" si="14"/>
        <v>0</v>
      </c>
      <c r="AV213" s="899">
        <f>IFERROR(INDEX(V213:AG213,1,MATCH(Parametres!$B$3,V$1:AG$1,0)-1)*IF(OR(C213="L",C213="S",C213="I"),-1,1),"")</f>
        <v>0</v>
      </c>
      <c r="AW213" s="899">
        <f t="shared" si="15"/>
        <v>0</v>
      </c>
      <c r="AX213" s="899">
        <f>INDEX(V213:AG213,1,MATCH(Parametres!$B$3,V$1:AG$1,0))*IF(OR(C213="L",C213="S",C213="I"),-1,1)</f>
        <v>0</v>
      </c>
      <c r="AY213" s="487" t="s">
        <v>337</v>
      </c>
      <c r="AZ213" s="487" t="e">
        <f>+VLOOKUP($AJ213,Data_Validation!$A:$E,5,0)</f>
        <v>#N/A</v>
      </c>
    </row>
    <row r="214" spans="36:52" ht="15" customHeight="1">
      <c r="AJ214" s="899">
        <f t="shared" si="12"/>
        <v>0</v>
      </c>
      <c r="AK214" s="899">
        <f t="shared" si="12"/>
        <v>0</v>
      </c>
      <c r="AL214" s="905">
        <f>IFERROR(INDEX(G214:R214,1,MATCH(Parametres!$B$3,G$1:R$1,0)-1)*IF(OR(F214="L",F214="S",F214="I"),-1,1),"")</f>
        <v>0</v>
      </c>
      <c r="AM214" s="905">
        <f t="shared" si="13"/>
        <v>0</v>
      </c>
      <c r="AN214" s="905">
        <f>INDEX(G214:R214,1,MATCH(Parametres!$B$3,G$1:R$1,0))*IF(OR(F214="L",F214="S",F214="I"),-1,1)</f>
        <v>0</v>
      </c>
      <c r="AO214" s="487" t="e">
        <f>+VLOOKUP($AJ214,Data_Validation!$A:$D,1,0)</f>
        <v>#N/A</v>
      </c>
      <c r="AP214" s="487" t="e">
        <f>+VLOOKUP($AJ214,Data_Validation!$A:$D,3,0)</f>
        <v>#N/A</v>
      </c>
      <c r="AQ214" s="487" t="e">
        <f>+VLOOKUP($AJ214,Data_Validation!$A:$D,4,0)</f>
        <v>#N/A</v>
      </c>
      <c r="AR214" s="487" t="s">
        <v>299</v>
      </c>
      <c r="AS214" s="487" t="e">
        <f>+VLOOKUP($AJ214,Data_Validation!$A:$E,5,0)</f>
        <v>#N/A</v>
      </c>
      <c r="AT214" s="904">
        <f t="shared" si="14"/>
        <v>0</v>
      </c>
      <c r="AU214" s="488">
        <f t="shared" si="14"/>
        <v>0</v>
      </c>
      <c r="AV214" s="899">
        <f>IFERROR(INDEX(V214:AG214,1,MATCH(Parametres!$B$3,V$1:AG$1,0)-1)*IF(OR(C214="L",C214="S",C214="I"),-1,1),"")</f>
        <v>0</v>
      </c>
      <c r="AW214" s="899">
        <f t="shared" si="15"/>
        <v>0</v>
      </c>
      <c r="AX214" s="899">
        <f>INDEX(V214:AG214,1,MATCH(Parametres!$B$3,V$1:AG$1,0))*IF(OR(C214="L",C214="S",C214="I"),-1,1)</f>
        <v>0</v>
      </c>
      <c r="AY214" s="487" t="s">
        <v>337</v>
      </c>
      <c r="AZ214" s="487" t="e">
        <f>+VLOOKUP($AJ214,Data_Validation!$A:$E,5,0)</f>
        <v>#N/A</v>
      </c>
    </row>
    <row r="215" spans="36:52" ht="15.75" customHeight="1">
      <c r="AJ215" s="899">
        <f t="shared" si="12"/>
        <v>0</v>
      </c>
      <c r="AK215" s="899">
        <f t="shared" si="12"/>
        <v>0</v>
      </c>
      <c r="AL215" s="905">
        <f>IFERROR(INDEX(G215:R215,1,MATCH(Parametres!$B$3,G$1:R$1,0)-1)*IF(OR(F215="L",F215="S",F215="I"),-1,1),"")</f>
        <v>0</v>
      </c>
      <c r="AM215" s="905">
        <f t="shared" si="13"/>
        <v>0</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f t="shared" si="14"/>
        <v>0</v>
      </c>
      <c r="AU215" s="488">
        <f t="shared" si="14"/>
        <v>0</v>
      </c>
      <c r="AV215" s="899">
        <f>IFERROR(INDEX(V215:AG215,1,MATCH(Parametres!$B$3,V$1:AG$1,0)-1)*IF(OR(C215="L",C215="S",C215="I"),-1,1),"")</f>
        <v>0</v>
      </c>
      <c r="AW215" s="899">
        <f t="shared" si="15"/>
        <v>0</v>
      </c>
      <c r="AX215" s="899">
        <f>INDEX(V215:AG215,1,MATCH(Parametres!$B$3,V$1:AG$1,0))*IF(OR(C215="L",C215="S",C215="I"),-1,1)</f>
        <v>0</v>
      </c>
      <c r="AY215" s="487" t="s">
        <v>337</v>
      </c>
      <c r="AZ215" s="487" t="e">
        <f>+VLOOKUP($AJ215,Data_Validation!$A:$E,5,0)</f>
        <v>#N/A</v>
      </c>
    </row>
    <row r="216" spans="36:52" ht="15" customHeight="1">
      <c r="AJ216" s="899">
        <f t="shared" si="12"/>
        <v>0</v>
      </c>
      <c r="AK216" s="899">
        <f t="shared" si="12"/>
        <v>0</v>
      </c>
      <c r="AL216" s="905">
        <f>IFERROR(INDEX(G216:R216,1,MATCH(Parametres!$B$3,G$1:R$1,0)-1)*IF(OR(F216="L",F216="S",F216="I"),-1,1),"")</f>
        <v>0</v>
      </c>
      <c r="AM216" s="905">
        <f t="shared" si="13"/>
        <v>0</v>
      </c>
      <c r="AN216" s="905">
        <f>INDEX(G216:R216,1,MATCH(Parametres!$B$3,G$1:R$1,0))*IF(OR(F216="L",F216="S",F216="I"),-1,1)</f>
        <v>0</v>
      </c>
      <c r="AO216" s="487" t="e">
        <f>+VLOOKUP($AJ216,Data_Validation!$A:$D,1,0)</f>
        <v>#N/A</v>
      </c>
      <c r="AP216" s="487" t="e">
        <f>+VLOOKUP($AJ216,Data_Validation!$A:$D,3,0)</f>
        <v>#N/A</v>
      </c>
      <c r="AQ216" s="487" t="e">
        <f>+VLOOKUP($AJ216,Data_Validation!$A:$D,4,0)</f>
        <v>#N/A</v>
      </c>
      <c r="AR216" s="487" t="s">
        <v>299</v>
      </c>
      <c r="AS216" s="487" t="e">
        <f>+VLOOKUP($AJ216,Data_Validation!$A:$E,5,0)</f>
        <v>#N/A</v>
      </c>
      <c r="AT216" s="904">
        <f t="shared" si="14"/>
        <v>0</v>
      </c>
      <c r="AU216" s="488">
        <f t="shared" si="14"/>
        <v>0</v>
      </c>
      <c r="AV216" s="899">
        <f>IFERROR(INDEX(V216:AG216,1,MATCH(Parametres!$B$3,V$1:AG$1,0)-1)*IF(OR(C216="L",C216="S",C216="I"),-1,1),"")</f>
        <v>0</v>
      </c>
      <c r="AW216" s="899">
        <f t="shared" si="15"/>
        <v>0</v>
      </c>
      <c r="AX216" s="899">
        <f>INDEX(V216:AG216,1,MATCH(Parametres!$B$3,V$1:AG$1,0))*IF(OR(C216="L",C216="S",C216="I"),-1,1)</f>
        <v>0</v>
      </c>
      <c r="AY216" s="487" t="s">
        <v>337</v>
      </c>
      <c r="AZ216" s="487" t="e">
        <f>+VLOOKUP($AJ216,Data_Validation!$A:$E,5,0)</f>
        <v>#N/A</v>
      </c>
    </row>
    <row r="217" spans="36:52" ht="15" customHeight="1">
      <c r="AJ217" s="899">
        <f t="shared" si="12"/>
        <v>0</v>
      </c>
      <c r="AK217" s="899">
        <f t="shared" si="12"/>
        <v>0</v>
      </c>
      <c r="AL217" s="905">
        <f>IFERROR(INDEX(G217:R217,1,MATCH(Parametres!$B$3,G$1:R$1,0)-1)*IF(OR(F217="L",F217="S",F217="I"),-1,1),"")</f>
        <v>0</v>
      </c>
      <c r="AM217" s="905">
        <f t="shared" si="13"/>
        <v>0</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f t="shared" si="14"/>
        <v>0</v>
      </c>
      <c r="AU217" s="488">
        <f t="shared" si="14"/>
        <v>0</v>
      </c>
      <c r="AV217" s="899">
        <f>IFERROR(INDEX(V217:AG217,1,MATCH(Parametres!$B$3,V$1:AG$1,0)-1)*IF(OR(C217="L",C217="S",C217="I"),-1,1),"")</f>
        <v>0</v>
      </c>
      <c r="AW217" s="899">
        <f t="shared" si="15"/>
        <v>0</v>
      </c>
      <c r="AX217" s="899">
        <f>INDEX(V217:AG217,1,MATCH(Parametres!$B$3,V$1:AG$1,0))*IF(OR(C217="L",C217="S",C217="I"),-1,1)</f>
        <v>0</v>
      </c>
      <c r="AY217" s="487" t="s">
        <v>337</v>
      </c>
      <c r="AZ217" s="487" t="e">
        <f>+VLOOKUP($AJ217,Data_Validation!$A:$E,5,0)</f>
        <v>#N/A</v>
      </c>
    </row>
    <row r="218" spans="36:52" ht="15" customHeight="1">
      <c r="AJ218" s="899">
        <f t="shared" si="12"/>
        <v>0</v>
      </c>
      <c r="AK218" s="899">
        <f t="shared" si="12"/>
        <v>0</v>
      </c>
      <c r="AL218" s="905">
        <f>IFERROR(INDEX(G218:R218,1,MATCH(Parametres!$B$3,G$1:R$1,0)-1)*IF(OR(F218="L",F218="S",F218="I"),-1,1),"")</f>
        <v>0</v>
      </c>
      <c r="AM218" s="905">
        <f t="shared" si="13"/>
        <v>0</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f t="shared" si="14"/>
        <v>0</v>
      </c>
      <c r="AU218" s="488">
        <f t="shared" si="14"/>
        <v>0</v>
      </c>
      <c r="AV218" s="899">
        <f>IFERROR(INDEX(V218:AG218,1,MATCH(Parametres!$B$3,V$1:AG$1,0)-1)*IF(OR(C218="L",C218="S",C218="I"),-1,1),"")</f>
        <v>0</v>
      </c>
      <c r="AW218" s="899">
        <f t="shared" si="15"/>
        <v>0</v>
      </c>
      <c r="AX218" s="899">
        <f>INDEX(V218:AG218,1,MATCH(Parametres!$B$3,V$1:AG$1,0))*IF(OR(C218="L",C218="S",C218="I"),-1,1)</f>
        <v>0</v>
      </c>
      <c r="AY218" s="487" t="s">
        <v>337</v>
      </c>
      <c r="AZ218" s="487" t="e">
        <f>+VLOOKUP($AJ218,Data_Validation!$A:$E,5,0)</f>
        <v>#N/A</v>
      </c>
    </row>
    <row r="219" spans="36:52" ht="15.75" customHeight="1">
      <c r="AJ219" s="899">
        <f t="shared" si="12"/>
        <v>0</v>
      </c>
      <c r="AK219" s="899">
        <f t="shared" si="12"/>
        <v>0</v>
      </c>
      <c r="AL219" s="905">
        <f>IFERROR(INDEX(G219:R219,1,MATCH(Parametres!$B$3,G$1:R$1,0)-1)*IF(OR(F219="L",F219="S",F219="I"),-1,1),"")</f>
        <v>0</v>
      </c>
      <c r="AM219" s="905">
        <f t="shared" si="13"/>
        <v>0</v>
      </c>
      <c r="AN219" s="905">
        <f>INDEX(G219:R219,1,MATCH(Parametres!$B$3,G$1:R$1,0))*IF(OR(F219="L",F219="S",F219="I"),-1,1)</f>
        <v>0</v>
      </c>
      <c r="AO219" s="487" t="e">
        <f>+VLOOKUP($AJ219,Data_Validation!$A:$D,1,0)</f>
        <v>#N/A</v>
      </c>
      <c r="AP219" s="487" t="e">
        <f>+VLOOKUP($AJ219,Data_Validation!$A:$D,3,0)</f>
        <v>#N/A</v>
      </c>
      <c r="AQ219" s="487" t="e">
        <f>+VLOOKUP($AJ219,Data_Validation!$A:$D,4,0)</f>
        <v>#N/A</v>
      </c>
      <c r="AR219" s="487" t="s">
        <v>299</v>
      </c>
      <c r="AS219" s="487" t="e">
        <f>+VLOOKUP($AJ219,Data_Validation!$A:$E,5,0)</f>
        <v>#N/A</v>
      </c>
      <c r="AT219" s="904">
        <f t="shared" si="14"/>
        <v>0</v>
      </c>
      <c r="AU219" s="488">
        <f t="shared" si="14"/>
        <v>0</v>
      </c>
      <c r="AV219" s="899">
        <f>IFERROR(INDEX(V219:AG219,1,MATCH(Parametres!$B$3,V$1:AG$1,0)-1)*IF(OR(C219="L",C219="S",C219="I"),-1,1),"")</f>
        <v>0</v>
      </c>
      <c r="AW219" s="899">
        <f t="shared" si="15"/>
        <v>0</v>
      </c>
      <c r="AX219" s="899">
        <f>INDEX(V219:AG219,1,MATCH(Parametres!$B$3,V$1:AG$1,0))*IF(OR(C219="L",C219="S",C219="I"),-1,1)</f>
        <v>0</v>
      </c>
      <c r="AY219" s="487" t="s">
        <v>337</v>
      </c>
      <c r="AZ219" s="487" t="e">
        <f>+VLOOKUP($AJ219,Data_Validation!$A:$E,5,0)</f>
        <v>#N/A</v>
      </c>
    </row>
    <row r="220" spans="36:52" ht="15" customHeight="1">
      <c r="AJ220" s="899">
        <f t="shared" si="12"/>
        <v>0</v>
      </c>
      <c r="AK220" s="899">
        <f t="shared" si="12"/>
        <v>0</v>
      </c>
      <c r="AL220" s="905">
        <f>IFERROR(INDEX(G220:R220,1,MATCH(Parametres!$B$3,G$1:R$1,0)-1)*IF(OR(F220="L",F220="S",F220="I"),-1,1),"")</f>
        <v>0</v>
      </c>
      <c r="AM220" s="905">
        <f t="shared" si="13"/>
        <v>0</v>
      </c>
      <c r="AN220" s="905">
        <f>INDEX(G220:R220,1,MATCH(Parametres!$B$3,G$1:R$1,0))*IF(OR(F220="L",F220="S",F220="I"),-1,1)</f>
        <v>0</v>
      </c>
      <c r="AO220" s="487" t="e">
        <f>+VLOOKUP($AJ220,Data_Validation!$A:$D,1,0)</f>
        <v>#N/A</v>
      </c>
      <c r="AP220" s="487" t="e">
        <f>+VLOOKUP($AJ220,Data_Validation!$A:$D,3,0)</f>
        <v>#N/A</v>
      </c>
      <c r="AQ220" s="487" t="e">
        <f>+VLOOKUP($AJ220,Data_Validation!$A:$D,4,0)</f>
        <v>#N/A</v>
      </c>
      <c r="AR220" s="487" t="s">
        <v>299</v>
      </c>
      <c r="AS220" s="487" t="e">
        <f>+VLOOKUP($AJ220,Data_Validation!$A:$E,5,0)</f>
        <v>#N/A</v>
      </c>
      <c r="AT220" s="904">
        <f t="shared" si="14"/>
        <v>0</v>
      </c>
      <c r="AU220" s="488">
        <f t="shared" si="14"/>
        <v>0</v>
      </c>
      <c r="AV220" s="899">
        <f>IFERROR(INDEX(V220:AG220,1,MATCH(Parametres!$B$3,V$1:AG$1,0)-1)*IF(OR(C220="L",C220="S",C220="I"),-1,1),"")</f>
        <v>0</v>
      </c>
      <c r="AW220" s="899">
        <f t="shared" si="15"/>
        <v>0</v>
      </c>
      <c r="AX220" s="899">
        <f>INDEX(V220:AG220,1,MATCH(Parametres!$B$3,V$1:AG$1,0))*IF(OR(C220="L",C220="S",C220="I"),-1,1)</f>
        <v>0</v>
      </c>
      <c r="AY220" s="487" t="s">
        <v>337</v>
      </c>
      <c r="AZ220" s="487" t="e">
        <f>+VLOOKUP($AJ220,Data_Validation!$A:$E,5,0)</f>
        <v>#N/A</v>
      </c>
    </row>
    <row r="221" spans="36:52" ht="15" customHeight="1">
      <c r="AJ221" s="899">
        <f t="shared" si="12"/>
        <v>0</v>
      </c>
      <c r="AK221" s="899">
        <f t="shared" si="12"/>
        <v>0</v>
      </c>
      <c r="AL221" s="905">
        <f>IFERROR(INDEX(G221:R221,1,MATCH(Parametres!$B$3,G$1:R$1,0)-1)*IF(OR(F221="L",F221="S",F221="I"),-1,1),"")</f>
        <v>0</v>
      </c>
      <c r="AM221" s="905">
        <f t="shared" si="13"/>
        <v>0</v>
      </c>
      <c r="AN221" s="905">
        <f>INDEX(G221:R221,1,MATCH(Parametres!$B$3,G$1:R$1,0))*IF(OR(F221="L",F221="S",F221="I"),-1,1)</f>
        <v>0</v>
      </c>
      <c r="AO221" s="487" t="e">
        <f>+VLOOKUP($AJ221,Data_Validation!$A:$D,1,0)</f>
        <v>#N/A</v>
      </c>
      <c r="AP221" s="487" t="e">
        <f>+VLOOKUP($AJ221,Data_Validation!$A:$D,3,0)</f>
        <v>#N/A</v>
      </c>
      <c r="AQ221" s="487" t="e">
        <f>+VLOOKUP($AJ221,Data_Validation!$A:$D,4,0)</f>
        <v>#N/A</v>
      </c>
      <c r="AR221" s="487" t="s">
        <v>299</v>
      </c>
      <c r="AS221" s="487" t="e">
        <f>+VLOOKUP($AJ221,Data_Validation!$A:$E,5,0)</f>
        <v>#N/A</v>
      </c>
      <c r="AT221" s="904">
        <f t="shared" si="14"/>
        <v>0</v>
      </c>
      <c r="AU221" s="488">
        <f t="shared" si="14"/>
        <v>0</v>
      </c>
      <c r="AV221" s="899">
        <f>IFERROR(INDEX(V221:AG221,1,MATCH(Parametres!$B$3,V$1:AG$1,0)-1)*IF(OR(C221="L",C221="S",C221="I"),-1,1),"")</f>
        <v>0</v>
      </c>
      <c r="AW221" s="899">
        <f t="shared" si="15"/>
        <v>0</v>
      </c>
      <c r="AX221" s="899">
        <f>INDEX(V221:AG221,1,MATCH(Parametres!$B$3,V$1:AG$1,0))*IF(OR(C221="L",C221="S",C221="I"),-1,1)</f>
        <v>0</v>
      </c>
      <c r="AY221" s="487" t="s">
        <v>337</v>
      </c>
      <c r="AZ221" s="487" t="e">
        <f>+VLOOKUP($AJ221,Data_Validation!$A:$E,5,0)</f>
        <v>#N/A</v>
      </c>
    </row>
    <row r="222" spans="36:52" ht="15" customHeight="1">
      <c r="AJ222" s="899">
        <f t="shared" si="12"/>
        <v>0</v>
      </c>
      <c r="AK222" s="899">
        <f t="shared" si="12"/>
        <v>0</v>
      </c>
      <c r="AL222" s="905">
        <f>IFERROR(INDEX(G222:R222,1,MATCH(Parametres!$B$3,G$1:R$1,0)-1)*IF(OR(F222="L",F222="S",F222="I"),-1,1),"")</f>
        <v>0</v>
      </c>
      <c r="AM222" s="905">
        <f t="shared" si="13"/>
        <v>0</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f t="shared" si="14"/>
        <v>0</v>
      </c>
      <c r="AU222" s="488">
        <f t="shared" si="14"/>
        <v>0</v>
      </c>
      <c r="AV222" s="899">
        <f>IFERROR(INDEX(V222:AG222,1,MATCH(Parametres!$B$3,V$1:AG$1,0)-1)*IF(OR(C222="L",C222="S",C222="I"),-1,1),"")</f>
        <v>0</v>
      </c>
      <c r="AW222" s="899">
        <f t="shared" si="15"/>
        <v>0</v>
      </c>
      <c r="AX222" s="899">
        <f>INDEX(V222:AG222,1,MATCH(Parametres!$B$3,V$1:AG$1,0))*IF(OR(C222="L",C222="S",C222="I"),-1,1)</f>
        <v>0</v>
      </c>
      <c r="AY222" s="487" t="s">
        <v>337</v>
      </c>
      <c r="AZ222" s="487" t="e">
        <f>+VLOOKUP($AJ222,Data_Validation!$A:$E,5,0)</f>
        <v>#N/A</v>
      </c>
    </row>
    <row r="223" spans="36:52" ht="15" customHeight="1">
      <c r="AJ223" s="899">
        <f t="shared" si="12"/>
        <v>0</v>
      </c>
      <c r="AK223" s="899">
        <f t="shared" si="12"/>
        <v>0</v>
      </c>
      <c r="AL223" s="905">
        <f>IFERROR(INDEX(G223:R223,1,MATCH(Parametres!$B$3,G$1:R$1,0)-1)*IF(OR(F223="L",F223="S",F223="I"),-1,1),"")</f>
        <v>0</v>
      </c>
      <c r="AM223" s="905">
        <f t="shared" si="13"/>
        <v>0</v>
      </c>
      <c r="AN223" s="905">
        <f>INDEX(G223:R223,1,MATCH(Parametres!$B$3,G$1:R$1,0))*IF(OR(F223="L",F223="S",F223="I"),-1,1)</f>
        <v>0</v>
      </c>
      <c r="AO223" s="487" t="e">
        <f>+VLOOKUP($AJ223,Data_Validation!$A:$D,1,0)</f>
        <v>#N/A</v>
      </c>
      <c r="AP223" s="487" t="e">
        <f>+VLOOKUP($AJ223,Data_Validation!$A:$D,3,0)</f>
        <v>#N/A</v>
      </c>
      <c r="AQ223" s="487" t="e">
        <f>+VLOOKUP($AJ223,Data_Validation!$A:$D,4,0)</f>
        <v>#N/A</v>
      </c>
      <c r="AR223" s="487" t="s">
        <v>299</v>
      </c>
      <c r="AS223" s="487" t="e">
        <f>+VLOOKUP($AJ223,Data_Validation!$A:$E,5,0)</f>
        <v>#N/A</v>
      </c>
      <c r="AT223" s="904">
        <f t="shared" si="14"/>
        <v>0</v>
      </c>
      <c r="AU223" s="488">
        <f t="shared" si="14"/>
        <v>0</v>
      </c>
      <c r="AV223" s="899">
        <f>IFERROR(INDEX(V223:AG223,1,MATCH(Parametres!$B$3,V$1:AG$1,0)-1)*IF(OR(C223="L",C223="S",C223="I"),-1,1),"")</f>
        <v>0</v>
      </c>
      <c r="AW223" s="899">
        <f t="shared" si="15"/>
        <v>0</v>
      </c>
      <c r="AX223" s="899">
        <f>INDEX(V223:AG223,1,MATCH(Parametres!$B$3,V$1:AG$1,0))*IF(OR(C223="L",C223="S",C223="I"),-1,1)</f>
        <v>0</v>
      </c>
      <c r="AY223" s="487" t="s">
        <v>337</v>
      </c>
      <c r="AZ223" s="487" t="e">
        <f>+VLOOKUP($AJ223,Data_Validation!$A:$E,5,0)</f>
        <v>#N/A</v>
      </c>
    </row>
    <row r="224" spans="36:52" ht="15" customHeight="1">
      <c r="AJ224" s="899">
        <f t="shared" si="12"/>
        <v>0</v>
      </c>
      <c r="AK224" s="899">
        <f t="shared" si="12"/>
        <v>0</v>
      </c>
      <c r="AL224" s="905">
        <f>IFERROR(INDEX(G224:R224,1,MATCH(Parametres!$B$3,G$1:R$1,0)-1)*IF(OR(F224="L",F224="S",F224="I"),-1,1),"")</f>
        <v>0</v>
      </c>
      <c r="AM224" s="905">
        <f t="shared" si="13"/>
        <v>0</v>
      </c>
      <c r="AN224" s="905">
        <f>INDEX(G224:R224,1,MATCH(Parametres!$B$3,G$1:R$1,0))*IF(OR(F224="L",F224="S",F224="I"),-1,1)</f>
        <v>0</v>
      </c>
      <c r="AO224" s="487" t="e">
        <f>+VLOOKUP($AJ224,Data_Validation!$A:$D,1,0)</f>
        <v>#N/A</v>
      </c>
      <c r="AP224" s="487" t="e">
        <f>+VLOOKUP($AJ224,Data_Validation!$A:$D,3,0)</f>
        <v>#N/A</v>
      </c>
      <c r="AQ224" s="487" t="e">
        <f>+VLOOKUP($AJ224,Data_Validation!$A:$D,4,0)</f>
        <v>#N/A</v>
      </c>
      <c r="AR224" s="487" t="s">
        <v>299</v>
      </c>
      <c r="AS224" s="487" t="e">
        <f>+VLOOKUP($AJ224,Data_Validation!$A:$E,5,0)</f>
        <v>#N/A</v>
      </c>
      <c r="AT224" s="904">
        <f t="shared" si="14"/>
        <v>0</v>
      </c>
      <c r="AU224" s="488">
        <f t="shared" si="14"/>
        <v>0</v>
      </c>
      <c r="AV224" s="899">
        <f>IFERROR(INDEX(V224:AG224,1,MATCH(Parametres!$B$3,V$1:AG$1,0)-1)*IF(OR(C224="L",C224="S",C224="I"),-1,1),"")</f>
        <v>0</v>
      </c>
      <c r="AW224" s="899">
        <f t="shared" si="15"/>
        <v>0</v>
      </c>
      <c r="AX224" s="899">
        <f>INDEX(V224:AG224,1,MATCH(Parametres!$B$3,V$1:AG$1,0))*IF(OR(C224="L",C224="S",C224="I"),-1,1)</f>
        <v>0</v>
      </c>
      <c r="AY224" s="487" t="s">
        <v>337</v>
      </c>
      <c r="AZ224" s="487" t="e">
        <f>+VLOOKUP($AJ224,Data_Validation!$A:$E,5,0)</f>
        <v>#N/A</v>
      </c>
    </row>
    <row r="225" spans="36:52" ht="15.75" customHeight="1">
      <c r="AJ225" s="899">
        <f t="shared" si="12"/>
        <v>0</v>
      </c>
      <c r="AK225" s="899">
        <f t="shared" si="12"/>
        <v>0</v>
      </c>
      <c r="AL225" s="905">
        <f>IFERROR(INDEX(G225:R225,1,MATCH(Parametres!$B$3,G$1:R$1,0)-1)*IF(OR(F225="L",F225="S",F225="I"),-1,1),"")</f>
        <v>0</v>
      </c>
      <c r="AM225" s="905">
        <f t="shared" si="13"/>
        <v>0</v>
      </c>
      <c r="AN225" s="905">
        <f>INDEX(G225:R225,1,MATCH(Parametres!$B$3,G$1:R$1,0))*IF(OR(F225="L",F225="S",F225="I"),-1,1)</f>
        <v>0</v>
      </c>
      <c r="AO225" s="487" t="e">
        <f>+VLOOKUP($AJ225,Data_Validation!$A:$D,1,0)</f>
        <v>#N/A</v>
      </c>
      <c r="AP225" s="487" t="e">
        <f>+VLOOKUP($AJ225,Data_Validation!$A:$D,3,0)</f>
        <v>#N/A</v>
      </c>
      <c r="AQ225" s="487" t="e">
        <f>+VLOOKUP($AJ225,Data_Validation!$A:$D,4,0)</f>
        <v>#N/A</v>
      </c>
      <c r="AR225" s="487" t="s">
        <v>299</v>
      </c>
      <c r="AS225" s="487" t="e">
        <f>+VLOOKUP($AJ225,Data_Validation!$A:$E,5,0)</f>
        <v>#N/A</v>
      </c>
      <c r="AT225" s="904">
        <f t="shared" si="14"/>
        <v>0</v>
      </c>
      <c r="AU225" s="488">
        <f t="shared" si="14"/>
        <v>0</v>
      </c>
      <c r="AV225" s="899">
        <f>IFERROR(INDEX(V225:AG225,1,MATCH(Parametres!$B$3,V$1:AG$1,0)-1)*IF(OR(C225="L",C225="S",C225="I"),-1,1),"")</f>
        <v>0</v>
      </c>
      <c r="AW225" s="899">
        <f t="shared" si="15"/>
        <v>0</v>
      </c>
      <c r="AX225" s="899">
        <f>INDEX(V225:AG225,1,MATCH(Parametres!$B$3,V$1:AG$1,0))*IF(OR(C225="L",C225="S",C225="I"),-1,1)</f>
        <v>0</v>
      </c>
      <c r="AY225" s="487" t="s">
        <v>337</v>
      </c>
      <c r="AZ225" s="487" t="e">
        <f>+VLOOKUP($AJ225,Data_Validation!$A:$E,5,0)</f>
        <v>#N/A</v>
      </c>
    </row>
    <row r="226" spans="36:52" ht="15" customHeight="1">
      <c r="AJ226" s="899">
        <f t="shared" si="12"/>
        <v>0</v>
      </c>
      <c r="AK226" s="899">
        <f t="shared" si="12"/>
        <v>0</v>
      </c>
      <c r="AL226" s="905">
        <f>IFERROR(INDEX(G226:R226,1,MATCH(Parametres!$B$3,G$1:R$1,0)-1)*IF(OR(F226="L",F226="S",F226="I"),-1,1),"")</f>
        <v>0</v>
      </c>
      <c r="AM226" s="905">
        <f t="shared" si="13"/>
        <v>0</v>
      </c>
      <c r="AN226" s="905">
        <f>INDEX(G226:R226,1,MATCH(Parametres!$B$3,G$1:R$1,0))*IF(OR(F226="L",F226="S",F226="I"),-1,1)</f>
        <v>0</v>
      </c>
      <c r="AO226" s="487" t="e">
        <f>+VLOOKUP($AJ226,Data_Validation!$A:$D,1,0)</f>
        <v>#N/A</v>
      </c>
      <c r="AP226" s="487" t="e">
        <f>+VLOOKUP($AJ226,Data_Validation!$A:$D,3,0)</f>
        <v>#N/A</v>
      </c>
      <c r="AQ226" s="487" t="e">
        <f>+VLOOKUP($AJ226,Data_Validation!$A:$D,4,0)</f>
        <v>#N/A</v>
      </c>
      <c r="AR226" s="487" t="s">
        <v>299</v>
      </c>
      <c r="AS226" s="487" t="e">
        <f>+VLOOKUP($AJ226,Data_Validation!$A:$E,5,0)</f>
        <v>#N/A</v>
      </c>
      <c r="AT226" s="904">
        <f t="shared" si="14"/>
        <v>0</v>
      </c>
      <c r="AU226" s="488">
        <f t="shared" si="14"/>
        <v>0</v>
      </c>
      <c r="AV226" s="899">
        <f>IFERROR(INDEX(V226:AG226,1,MATCH(Parametres!$B$3,V$1:AG$1,0)-1)*IF(OR(C226="L",C226="S",C226="I"),-1,1),"")</f>
        <v>0</v>
      </c>
      <c r="AW226" s="899">
        <f t="shared" si="15"/>
        <v>0</v>
      </c>
      <c r="AX226" s="899">
        <f>INDEX(V226:AG226,1,MATCH(Parametres!$B$3,V$1:AG$1,0))*IF(OR(C226="L",C226="S",C226="I"),-1,1)</f>
        <v>0</v>
      </c>
      <c r="AY226" s="487" t="s">
        <v>337</v>
      </c>
      <c r="AZ226" s="487" t="e">
        <f>+VLOOKUP($AJ226,Data_Validation!$A:$E,5,0)</f>
        <v>#N/A</v>
      </c>
    </row>
    <row r="227" spans="36:52" ht="15" customHeight="1">
      <c r="AJ227" s="899">
        <f t="shared" si="12"/>
        <v>0</v>
      </c>
      <c r="AK227" s="899">
        <f t="shared" si="12"/>
        <v>0</v>
      </c>
      <c r="AL227" s="905">
        <f>IFERROR(INDEX(G227:R227,1,MATCH(Parametres!$B$3,G$1:R$1,0)-1)*IF(OR(F227="L",F227="S",F227="I"),-1,1),"")</f>
        <v>0</v>
      </c>
      <c r="AM227" s="905">
        <f t="shared" si="13"/>
        <v>0</v>
      </c>
      <c r="AN227" s="905">
        <f>INDEX(G227:R227,1,MATCH(Parametres!$B$3,G$1:R$1,0))*IF(OR(F227="L",F227="S",F227="I"),-1,1)</f>
        <v>0</v>
      </c>
      <c r="AO227" s="487" t="e">
        <f>+VLOOKUP($AJ227,Data_Validation!$A:$D,1,0)</f>
        <v>#N/A</v>
      </c>
      <c r="AP227" s="487" t="e">
        <f>+VLOOKUP($AJ227,Data_Validation!$A:$D,3,0)</f>
        <v>#N/A</v>
      </c>
      <c r="AQ227" s="487" t="e">
        <f>+VLOOKUP($AJ227,Data_Validation!$A:$D,4,0)</f>
        <v>#N/A</v>
      </c>
      <c r="AR227" s="487" t="s">
        <v>299</v>
      </c>
      <c r="AS227" s="487" t="e">
        <f>+VLOOKUP($AJ227,Data_Validation!$A:$E,5,0)</f>
        <v>#N/A</v>
      </c>
      <c r="AT227" s="904">
        <f t="shared" si="14"/>
        <v>0</v>
      </c>
      <c r="AU227" s="488">
        <f t="shared" si="14"/>
        <v>0</v>
      </c>
      <c r="AV227" s="899">
        <f>IFERROR(INDEX(V227:AG227,1,MATCH(Parametres!$B$3,V$1:AG$1,0)-1)*IF(OR(C227="L",C227="S",C227="I"),-1,1),"")</f>
        <v>0</v>
      </c>
      <c r="AW227" s="899">
        <f t="shared" si="15"/>
        <v>0</v>
      </c>
      <c r="AX227" s="899">
        <f>INDEX(V227:AG227,1,MATCH(Parametres!$B$3,V$1:AG$1,0))*IF(OR(C227="L",C227="S",C227="I"),-1,1)</f>
        <v>0</v>
      </c>
      <c r="AY227" s="487" t="s">
        <v>337</v>
      </c>
      <c r="AZ227" s="487" t="e">
        <f>+VLOOKUP($AJ227,Data_Validation!$A:$E,5,0)</f>
        <v>#N/A</v>
      </c>
    </row>
    <row r="228" spans="36:52" ht="15" customHeight="1">
      <c r="AJ228" s="899">
        <f t="shared" si="12"/>
        <v>0</v>
      </c>
      <c r="AK228" s="899">
        <f t="shared" si="12"/>
        <v>0</v>
      </c>
      <c r="AL228" s="905">
        <f>IFERROR(INDEX(G228:R228,1,MATCH(Parametres!$B$3,G$1:R$1,0)-1)*IF(OR(F228="L",F228="S",F228="I"),-1,1),"")</f>
        <v>0</v>
      </c>
      <c r="AM228" s="905">
        <f t="shared" si="13"/>
        <v>0</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f t="shared" si="14"/>
        <v>0</v>
      </c>
      <c r="AU228" s="488">
        <f t="shared" si="14"/>
        <v>0</v>
      </c>
      <c r="AV228" s="899">
        <f>IFERROR(INDEX(V228:AG228,1,MATCH(Parametres!$B$3,V$1:AG$1,0)-1)*IF(OR(C228="L",C228="S",C228="I"),-1,1),"")</f>
        <v>0</v>
      </c>
      <c r="AW228" s="899">
        <f t="shared" si="15"/>
        <v>0</v>
      </c>
      <c r="AX228" s="899">
        <f>INDEX(V228:AG228,1,MATCH(Parametres!$B$3,V$1:AG$1,0))*IF(OR(C228="L",C228="S",C228="I"),-1,1)</f>
        <v>0</v>
      </c>
      <c r="AY228" s="487" t="s">
        <v>337</v>
      </c>
      <c r="AZ228" s="487" t="e">
        <f>+VLOOKUP($AJ228,Data_Validation!$A:$E,5,0)</f>
        <v>#N/A</v>
      </c>
    </row>
    <row r="229" spans="36:52" ht="15.75" customHeight="1">
      <c r="AJ229" s="899">
        <f t="shared" si="12"/>
        <v>0</v>
      </c>
      <c r="AK229" s="899">
        <f t="shared" si="12"/>
        <v>0</v>
      </c>
      <c r="AL229" s="905">
        <f>IFERROR(INDEX(G229:R229,1,MATCH(Parametres!$B$3,G$1:R$1,0)-1)*IF(OR(F229="L",F229="S",F229="I"),-1,1),"")</f>
        <v>0</v>
      </c>
      <c r="AM229" s="905">
        <f t="shared" si="13"/>
        <v>0</v>
      </c>
      <c r="AN229" s="905">
        <f>INDEX(G229:R229,1,MATCH(Parametres!$B$3,G$1:R$1,0))*IF(OR(F229="L",F229="S",F229="I"),-1,1)</f>
        <v>0</v>
      </c>
      <c r="AO229" s="487" t="e">
        <f>+VLOOKUP($AJ229,Data_Validation!$A:$D,1,0)</f>
        <v>#N/A</v>
      </c>
      <c r="AP229" s="487" t="e">
        <f>+VLOOKUP($AJ229,Data_Validation!$A:$D,3,0)</f>
        <v>#N/A</v>
      </c>
      <c r="AQ229" s="487" t="e">
        <f>+VLOOKUP($AJ229,Data_Validation!$A:$D,4,0)</f>
        <v>#N/A</v>
      </c>
      <c r="AR229" s="487" t="s">
        <v>299</v>
      </c>
      <c r="AS229" s="487" t="e">
        <f>+VLOOKUP($AJ229,Data_Validation!$A:$E,5,0)</f>
        <v>#N/A</v>
      </c>
      <c r="AT229" s="904">
        <f t="shared" si="14"/>
        <v>0</v>
      </c>
      <c r="AU229" s="488">
        <f t="shared" si="14"/>
        <v>0</v>
      </c>
      <c r="AV229" s="899">
        <f>IFERROR(INDEX(V229:AG229,1,MATCH(Parametres!$B$3,V$1:AG$1,0)-1)*IF(OR(C229="L",C229="S",C229="I"),-1,1),"")</f>
        <v>0</v>
      </c>
      <c r="AW229" s="899">
        <f t="shared" si="15"/>
        <v>0</v>
      </c>
      <c r="AX229" s="899">
        <f>INDEX(V229:AG229,1,MATCH(Parametres!$B$3,V$1:AG$1,0))*IF(OR(C229="L",C229="S",C229="I"),-1,1)</f>
        <v>0</v>
      </c>
      <c r="AY229" s="487" t="s">
        <v>337</v>
      </c>
      <c r="AZ229" s="487" t="e">
        <f>+VLOOKUP($AJ229,Data_Validation!$A:$E,5,0)</f>
        <v>#N/A</v>
      </c>
    </row>
    <row r="230" spans="36:52" ht="15" customHeight="1">
      <c r="AJ230" s="899">
        <f t="shared" si="12"/>
        <v>0</v>
      </c>
      <c r="AK230" s="899">
        <f t="shared" si="12"/>
        <v>0</v>
      </c>
      <c r="AL230" s="905">
        <f>IFERROR(INDEX(G230:R230,1,MATCH(Parametres!$B$3,G$1:R$1,0)-1)*IF(OR(F230="L",F230="S",F230="I"),-1,1),"")</f>
        <v>0</v>
      </c>
      <c r="AM230" s="905">
        <f t="shared" si="13"/>
        <v>0</v>
      </c>
      <c r="AN230" s="905">
        <f>INDEX(G230:R230,1,MATCH(Parametres!$B$3,G$1:R$1,0))*IF(OR(F230="L",F230="S",F230="I"),-1,1)</f>
        <v>0</v>
      </c>
      <c r="AO230" s="487" t="e">
        <f>+VLOOKUP($AJ230,Data_Validation!$A:$D,1,0)</f>
        <v>#N/A</v>
      </c>
      <c r="AP230" s="487" t="e">
        <f>+VLOOKUP($AJ230,Data_Validation!$A:$D,3,0)</f>
        <v>#N/A</v>
      </c>
      <c r="AQ230" s="487" t="e">
        <f>+VLOOKUP($AJ230,Data_Validation!$A:$D,4,0)</f>
        <v>#N/A</v>
      </c>
      <c r="AR230" s="487" t="s">
        <v>299</v>
      </c>
      <c r="AS230" s="487" t="e">
        <f>+VLOOKUP($AJ230,Data_Validation!$A:$E,5,0)</f>
        <v>#N/A</v>
      </c>
      <c r="AT230" s="904">
        <f t="shared" si="14"/>
        <v>0</v>
      </c>
      <c r="AU230" s="488">
        <f t="shared" si="14"/>
        <v>0</v>
      </c>
      <c r="AV230" s="899">
        <f>IFERROR(INDEX(V230:AG230,1,MATCH(Parametres!$B$3,V$1:AG$1,0)-1)*IF(OR(C230="L",C230="S",C230="I"),-1,1),"")</f>
        <v>0</v>
      </c>
      <c r="AW230" s="899">
        <f t="shared" si="15"/>
        <v>0</v>
      </c>
      <c r="AX230" s="899">
        <f>INDEX(V230:AG230,1,MATCH(Parametres!$B$3,V$1:AG$1,0))*IF(OR(C230="L",C230="S",C230="I"),-1,1)</f>
        <v>0</v>
      </c>
      <c r="AY230" s="487" t="s">
        <v>337</v>
      </c>
      <c r="AZ230" s="487" t="e">
        <f>+VLOOKUP($AJ230,Data_Validation!$A:$E,5,0)</f>
        <v>#N/A</v>
      </c>
    </row>
    <row r="231" spans="36:52" ht="15" customHeight="1">
      <c r="AJ231" s="899">
        <f t="shared" si="12"/>
        <v>0</v>
      </c>
      <c r="AK231" s="899">
        <f t="shared" si="12"/>
        <v>0</v>
      </c>
      <c r="AL231" s="905">
        <f>IFERROR(INDEX(G231:R231,1,MATCH(Parametres!$B$3,G$1:R$1,0)-1)*IF(OR(F231="L",F231="S",F231="I"),-1,1),"")</f>
        <v>0</v>
      </c>
      <c r="AM231" s="905">
        <f t="shared" si="13"/>
        <v>0</v>
      </c>
      <c r="AN231" s="905">
        <f>INDEX(G231:R231,1,MATCH(Parametres!$B$3,G$1:R$1,0))*IF(OR(F231="L",F231="S",F231="I"),-1,1)</f>
        <v>0</v>
      </c>
      <c r="AO231" s="487" t="e">
        <f>+VLOOKUP($AJ231,Data_Validation!$A:$D,1,0)</f>
        <v>#N/A</v>
      </c>
      <c r="AP231" s="487" t="e">
        <f>+VLOOKUP($AJ231,Data_Validation!$A:$D,3,0)</f>
        <v>#N/A</v>
      </c>
      <c r="AQ231" s="487" t="e">
        <f>+VLOOKUP($AJ231,Data_Validation!$A:$D,4,0)</f>
        <v>#N/A</v>
      </c>
      <c r="AR231" s="487" t="s">
        <v>299</v>
      </c>
      <c r="AS231" s="487" t="e">
        <f>+VLOOKUP($AJ231,Data_Validation!$A:$E,5,0)</f>
        <v>#N/A</v>
      </c>
      <c r="AT231" s="904">
        <f t="shared" si="14"/>
        <v>0</v>
      </c>
      <c r="AU231" s="488">
        <f t="shared" si="14"/>
        <v>0</v>
      </c>
      <c r="AV231" s="899">
        <f>IFERROR(INDEX(V231:AG231,1,MATCH(Parametres!$B$3,V$1:AG$1,0)-1)*IF(OR(C231="L",C231="S",C231="I"),-1,1),"")</f>
        <v>0</v>
      </c>
      <c r="AW231" s="899">
        <f t="shared" si="15"/>
        <v>0</v>
      </c>
      <c r="AX231" s="899">
        <f>INDEX(V231:AG231,1,MATCH(Parametres!$B$3,V$1:AG$1,0))*IF(OR(C231="L",C231="S",C231="I"),-1,1)</f>
        <v>0</v>
      </c>
      <c r="AY231" s="487" t="s">
        <v>337</v>
      </c>
      <c r="AZ231" s="487" t="e">
        <f>+VLOOKUP($AJ231,Data_Validation!$A:$E,5,0)</f>
        <v>#N/A</v>
      </c>
    </row>
    <row r="232" spans="36:52" ht="15" customHeight="1">
      <c r="AJ232" s="899">
        <f t="shared" si="12"/>
        <v>0</v>
      </c>
      <c r="AK232" s="899">
        <f t="shared" si="12"/>
        <v>0</v>
      </c>
      <c r="AL232" s="905">
        <f>IFERROR(INDEX(G232:R232,1,MATCH(Parametres!$B$3,G$1:R$1,0)-1)*IF(OR(F232="L",F232="S",F232="I"),-1,1),"")</f>
        <v>0</v>
      </c>
      <c r="AM232" s="905">
        <f t="shared" si="13"/>
        <v>0</v>
      </c>
      <c r="AN232" s="905">
        <f>INDEX(G232:R232,1,MATCH(Parametres!$B$3,G$1:R$1,0))*IF(OR(F232="L",F232="S",F232="I"),-1,1)</f>
        <v>0</v>
      </c>
      <c r="AO232" s="487" t="e">
        <f>+VLOOKUP($AJ232,Data_Validation!$A:$D,1,0)</f>
        <v>#N/A</v>
      </c>
      <c r="AP232" s="487" t="e">
        <f>+VLOOKUP($AJ232,Data_Validation!$A:$D,3,0)</f>
        <v>#N/A</v>
      </c>
      <c r="AQ232" s="487" t="e">
        <f>+VLOOKUP($AJ232,Data_Validation!$A:$D,4,0)</f>
        <v>#N/A</v>
      </c>
      <c r="AR232" s="487" t="s">
        <v>299</v>
      </c>
      <c r="AS232" s="487" t="e">
        <f>+VLOOKUP($AJ232,Data_Validation!$A:$E,5,0)</f>
        <v>#N/A</v>
      </c>
      <c r="AT232" s="904">
        <f t="shared" si="14"/>
        <v>0</v>
      </c>
      <c r="AU232" s="488">
        <f t="shared" si="14"/>
        <v>0</v>
      </c>
      <c r="AV232" s="899">
        <f>IFERROR(INDEX(V232:AG232,1,MATCH(Parametres!$B$3,V$1:AG$1,0)-1)*IF(OR(C232="L",C232="S",C232="I"),-1,1),"")</f>
        <v>0</v>
      </c>
      <c r="AW232" s="899">
        <f t="shared" si="15"/>
        <v>0</v>
      </c>
      <c r="AX232" s="899">
        <f>INDEX(V232:AG232,1,MATCH(Parametres!$B$3,V$1:AG$1,0))*IF(OR(C232="L",C232="S",C232="I"),-1,1)</f>
        <v>0</v>
      </c>
      <c r="AY232" s="487" t="s">
        <v>337</v>
      </c>
      <c r="AZ232" s="487" t="e">
        <f>+VLOOKUP($AJ232,Data_Validation!$A:$E,5,0)</f>
        <v>#N/A</v>
      </c>
    </row>
    <row r="233" spans="36:52" ht="15" customHeight="1">
      <c r="AJ233" s="899">
        <f t="shared" si="12"/>
        <v>0</v>
      </c>
      <c r="AK233" s="899">
        <f t="shared" si="12"/>
        <v>0</v>
      </c>
      <c r="AL233" s="905">
        <f>IFERROR(INDEX(G233:R233,1,MATCH(Parametres!$B$3,G$1:R$1,0)-1)*IF(OR(F233="L",F233="S",F233="I"),-1,1),"")</f>
        <v>0</v>
      </c>
      <c r="AM233" s="905">
        <f t="shared" si="13"/>
        <v>0</v>
      </c>
      <c r="AN233" s="905">
        <f>INDEX(G233:R233,1,MATCH(Parametres!$B$3,G$1:R$1,0))*IF(OR(F233="L",F233="S",F233="I"),-1,1)</f>
        <v>0</v>
      </c>
      <c r="AO233" s="487" t="e">
        <f>+VLOOKUP($AJ233,Data_Validation!$A:$D,1,0)</f>
        <v>#N/A</v>
      </c>
      <c r="AP233" s="487" t="e">
        <f>+VLOOKUP($AJ233,Data_Validation!$A:$D,3,0)</f>
        <v>#N/A</v>
      </c>
      <c r="AQ233" s="487" t="e">
        <f>+VLOOKUP($AJ233,Data_Validation!$A:$D,4,0)</f>
        <v>#N/A</v>
      </c>
      <c r="AR233" s="487" t="s">
        <v>299</v>
      </c>
      <c r="AS233" s="487" t="e">
        <f>+VLOOKUP($AJ233,Data_Validation!$A:$E,5,0)</f>
        <v>#N/A</v>
      </c>
      <c r="AT233" s="904">
        <f t="shared" si="14"/>
        <v>0</v>
      </c>
      <c r="AU233" s="488">
        <f t="shared" si="14"/>
        <v>0</v>
      </c>
      <c r="AV233" s="899">
        <f>IFERROR(INDEX(V233:AG233,1,MATCH(Parametres!$B$3,V$1:AG$1,0)-1)*IF(OR(C233="L",C233="S",C233="I"),-1,1),"")</f>
        <v>0</v>
      </c>
      <c r="AW233" s="899">
        <f t="shared" si="15"/>
        <v>0</v>
      </c>
      <c r="AX233" s="899">
        <f>INDEX(V233:AG233,1,MATCH(Parametres!$B$3,V$1:AG$1,0))*IF(OR(C233="L",C233="S",C233="I"),-1,1)</f>
        <v>0</v>
      </c>
      <c r="AY233" s="487" t="s">
        <v>337</v>
      </c>
      <c r="AZ233" s="487" t="e">
        <f>+VLOOKUP($AJ233,Data_Validation!$A:$E,5,0)</f>
        <v>#N/A</v>
      </c>
    </row>
    <row r="234" spans="36:52" ht="15.75" customHeight="1">
      <c r="AJ234" s="899">
        <f t="shared" si="12"/>
        <v>0</v>
      </c>
      <c r="AK234" s="899">
        <f t="shared" si="12"/>
        <v>0</v>
      </c>
      <c r="AL234" s="905">
        <f>IFERROR(INDEX(G234:R234,1,MATCH(Parametres!$B$3,G$1:R$1,0)-1)*IF(OR(F234="L",F234="S",F234="I"),-1,1),"")</f>
        <v>0</v>
      </c>
      <c r="AM234" s="905">
        <f t="shared" si="13"/>
        <v>0</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f t="shared" si="14"/>
        <v>0</v>
      </c>
      <c r="AU234" s="488">
        <f t="shared" si="14"/>
        <v>0</v>
      </c>
      <c r="AV234" s="899">
        <f>IFERROR(INDEX(V234:AG234,1,MATCH(Parametres!$B$3,V$1:AG$1,0)-1)*IF(OR(C234="L",C234="S",C234="I"),-1,1),"")</f>
        <v>0</v>
      </c>
      <c r="AW234" s="899">
        <f t="shared" si="15"/>
        <v>0</v>
      </c>
      <c r="AX234" s="899">
        <f>INDEX(V234:AG234,1,MATCH(Parametres!$B$3,V$1:AG$1,0))*IF(OR(C234="L",C234="S",C234="I"),-1,1)</f>
        <v>0</v>
      </c>
      <c r="AY234" s="487" t="s">
        <v>337</v>
      </c>
      <c r="AZ234" s="487" t="e">
        <f>+VLOOKUP($AJ234,Data_Validation!$A:$E,5,0)</f>
        <v>#N/A</v>
      </c>
    </row>
    <row r="235" spans="36:52" ht="15" customHeight="1">
      <c r="AJ235" s="899">
        <f t="shared" si="12"/>
        <v>0</v>
      </c>
      <c r="AK235" s="899">
        <f t="shared" si="12"/>
        <v>0</v>
      </c>
      <c r="AL235" s="905">
        <f>IFERROR(INDEX(G235:R235,1,MATCH(Parametres!$B$3,G$1:R$1,0)-1)*IF(OR(F235="L",F235="S",F235="I"),-1,1),"")</f>
        <v>0</v>
      </c>
      <c r="AM235" s="905">
        <f t="shared" si="13"/>
        <v>0</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f t="shared" si="14"/>
        <v>0</v>
      </c>
      <c r="AU235" s="488">
        <f t="shared" si="14"/>
        <v>0</v>
      </c>
      <c r="AV235" s="899">
        <f>IFERROR(INDEX(V235:AG235,1,MATCH(Parametres!$B$3,V$1:AG$1,0)-1)*IF(OR(C235="L",C235="S",C235="I"),-1,1),"")</f>
        <v>0</v>
      </c>
      <c r="AW235" s="899">
        <f t="shared" si="15"/>
        <v>0</v>
      </c>
      <c r="AX235" s="899">
        <f>INDEX(V235:AG235,1,MATCH(Parametres!$B$3,V$1:AG$1,0))*IF(OR(C235="L",C235="S",C235="I"),-1,1)</f>
        <v>0</v>
      </c>
      <c r="AY235" s="487" t="s">
        <v>337</v>
      </c>
      <c r="AZ235" s="487" t="e">
        <f>+VLOOKUP($AJ235,Data_Validation!$A:$E,5,0)</f>
        <v>#N/A</v>
      </c>
    </row>
    <row r="236" spans="36:52" ht="15" customHeight="1">
      <c r="AJ236" s="899">
        <f t="shared" si="12"/>
        <v>0</v>
      </c>
      <c r="AK236" s="899">
        <f t="shared" si="12"/>
        <v>0</v>
      </c>
      <c r="AL236" s="905">
        <f>IFERROR(INDEX(G236:R236,1,MATCH(Parametres!$B$3,G$1:R$1,0)-1)*IF(OR(F236="L",F236="S",F236="I"),-1,1),"")</f>
        <v>0</v>
      </c>
      <c r="AM236" s="905">
        <f t="shared" si="13"/>
        <v>0</v>
      </c>
      <c r="AN236" s="905">
        <f>INDEX(G236:R236,1,MATCH(Parametres!$B$3,G$1:R$1,0))*IF(OR(F236="L",F236="S",F236="I"),-1,1)</f>
        <v>0</v>
      </c>
      <c r="AO236" s="487" t="e">
        <f>+VLOOKUP($AJ236,Data_Validation!$A:$D,1,0)</f>
        <v>#N/A</v>
      </c>
      <c r="AP236" s="487" t="e">
        <f>+VLOOKUP($AJ236,Data_Validation!$A:$D,3,0)</f>
        <v>#N/A</v>
      </c>
      <c r="AQ236" s="487" t="e">
        <f>+VLOOKUP($AJ236,Data_Validation!$A:$D,4,0)</f>
        <v>#N/A</v>
      </c>
      <c r="AR236" s="487" t="s">
        <v>299</v>
      </c>
      <c r="AS236" s="487" t="e">
        <f>+VLOOKUP($AJ236,Data_Validation!$A:$E,5,0)</f>
        <v>#N/A</v>
      </c>
      <c r="AT236" s="904">
        <f t="shared" si="14"/>
        <v>0</v>
      </c>
      <c r="AU236" s="488">
        <f t="shared" si="14"/>
        <v>0</v>
      </c>
      <c r="AV236" s="899">
        <f>IFERROR(INDEX(V236:AG236,1,MATCH(Parametres!$B$3,V$1:AG$1,0)-1)*IF(OR(C236="L",C236="S",C236="I"),-1,1),"")</f>
        <v>0</v>
      </c>
      <c r="AW236" s="899">
        <f t="shared" si="15"/>
        <v>0</v>
      </c>
      <c r="AX236" s="899">
        <f>INDEX(V236:AG236,1,MATCH(Parametres!$B$3,V$1:AG$1,0))*IF(OR(C236="L",C236="S",C236="I"),-1,1)</f>
        <v>0</v>
      </c>
      <c r="AY236" s="487" t="s">
        <v>337</v>
      </c>
      <c r="AZ236" s="487" t="e">
        <f>+VLOOKUP($AJ236,Data_Validation!$A:$E,5,0)</f>
        <v>#N/A</v>
      </c>
    </row>
    <row r="237" spans="36:52" ht="15" customHeight="1">
      <c r="AJ237" s="899">
        <f t="shared" si="12"/>
        <v>0</v>
      </c>
      <c r="AK237" s="899">
        <f t="shared" si="12"/>
        <v>0</v>
      </c>
      <c r="AL237" s="905">
        <f>IFERROR(INDEX(G237:R237,1,MATCH(Parametres!$B$3,G$1:R$1,0)-1)*IF(OR(F237="L",F237="S",F237="I"),-1,1),"")</f>
        <v>0</v>
      </c>
      <c r="AM237" s="905">
        <f t="shared" si="13"/>
        <v>0</v>
      </c>
      <c r="AN237" s="905">
        <f>INDEX(G237:R237,1,MATCH(Parametres!$B$3,G$1:R$1,0))*IF(OR(F237="L",F237="S",F237="I"),-1,1)</f>
        <v>0</v>
      </c>
      <c r="AO237" s="487" t="e">
        <f>+VLOOKUP($AJ237,Data_Validation!$A:$D,1,0)</f>
        <v>#N/A</v>
      </c>
      <c r="AP237" s="487" t="e">
        <f>+VLOOKUP($AJ237,Data_Validation!$A:$D,3,0)</f>
        <v>#N/A</v>
      </c>
      <c r="AQ237" s="487" t="e">
        <f>+VLOOKUP($AJ237,Data_Validation!$A:$D,4,0)</f>
        <v>#N/A</v>
      </c>
      <c r="AR237" s="487" t="s">
        <v>299</v>
      </c>
      <c r="AS237" s="487" t="e">
        <f>+VLOOKUP($AJ237,Data_Validation!$A:$E,5,0)</f>
        <v>#N/A</v>
      </c>
      <c r="AT237" s="904">
        <f t="shared" si="14"/>
        <v>0</v>
      </c>
      <c r="AU237" s="488">
        <f t="shared" si="14"/>
        <v>0</v>
      </c>
      <c r="AV237" s="899">
        <f>IFERROR(INDEX(V237:AG237,1,MATCH(Parametres!$B$3,V$1:AG$1,0)-1)*IF(OR(C237="L",C237="S",C237="I"),-1,1),"")</f>
        <v>0</v>
      </c>
      <c r="AW237" s="899">
        <f t="shared" si="15"/>
        <v>0</v>
      </c>
      <c r="AX237" s="899">
        <f>INDEX(V237:AG237,1,MATCH(Parametres!$B$3,V$1:AG$1,0))*IF(OR(C237="L",C237="S",C237="I"),-1,1)</f>
        <v>0</v>
      </c>
      <c r="AY237" s="487" t="s">
        <v>337</v>
      </c>
      <c r="AZ237" s="487" t="e">
        <f>+VLOOKUP($AJ237,Data_Validation!$A:$E,5,0)</f>
        <v>#N/A</v>
      </c>
    </row>
    <row r="238" spans="36:52" ht="15.75" customHeight="1">
      <c r="AJ238" s="899">
        <f t="shared" si="12"/>
        <v>0</v>
      </c>
      <c r="AK238" s="899">
        <f t="shared" si="12"/>
        <v>0</v>
      </c>
      <c r="AL238" s="905">
        <f>IFERROR(INDEX(G238:R238,1,MATCH(Parametres!$B$3,G$1:R$1,0)-1)*IF(OR(F238="L",F238="S",F238="I"),-1,1),"")</f>
        <v>0</v>
      </c>
      <c r="AM238" s="905">
        <f t="shared" si="13"/>
        <v>0</v>
      </c>
      <c r="AN238" s="905">
        <f>INDEX(G238:R238,1,MATCH(Parametres!$B$3,G$1:R$1,0))*IF(OR(F238="L",F238="S",F238="I"),-1,1)</f>
        <v>0</v>
      </c>
      <c r="AO238" s="487" t="e">
        <f>+VLOOKUP($AJ238,Data_Validation!$A:$D,1,0)</f>
        <v>#N/A</v>
      </c>
      <c r="AP238" s="487" t="e">
        <f>+VLOOKUP($AJ238,Data_Validation!$A:$D,3,0)</f>
        <v>#N/A</v>
      </c>
      <c r="AQ238" s="487" t="e">
        <f>+VLOOKUP($AJ238,Data_Validation!$A:$D,4,0)</f>
        <v>#N/A</v>
      </c>
      <c r="AR238" s="487" t="s">
        <v>299</v>
      </c>
      <c r="AS238" s="487" t="e">
        <f>+VLOOKUP($AJ238,Data_Validation!$A:$E,5,0)</f>
        <v>#N/A</v>
      </c>
      <c r="AT238" s="904">
        <f t="shared" si="14"/>
        <v>0</v>
      </c>
      <c r="AU238" s="488">
        <f t="shared" si="14"/>
        <v>0</v>
      </c>
      <c r="AV238" s="899">
        <f>IFERROR(INDEX(V238:AG238,1,MATCH(Parametres!$B$3,V$1:AG$1,0)-1)*IF(OR(C238="L",C238="S",C238="I"),-1,1),"")</f>
        <v>0</v>
      </c>
      <c r="AW238" s="899">
        <f t="shared" si="15"/>
        <v>0</v>
      </c>
      <c r="AX238" s="899">
        <f>INDEX(V238:AG238,1,MATCH(Parametres!$B$3,V$1:AG$1,0))*IF(OR(C238="L",C238="S",C238="I"),-1,1)</f>
        <v>0</v>
      </c>
      <c r="AY238" s="487" t="s">
        <v>337</v>
      </c>
      <c r="AZ238" s="487" t="e">
        <f>+VLOOKUP($AJ238,Data_Validation!$A:$E,5,0)</f>
        <v>#N/A</v>
      </c>
    </row>
    <row r="239" spans="36:52" ht="15" customHeight="1">
      <c r="AJ239" s="899">
        <f t="shared" si="12"/>
        <v>0</v>
      </c>
      <c r="AK239" s="899">
        <f t="shared" si="12"/>
        <v>0</v>
      </c>
      <c r="AL239" s="905">
        <f>IFERROR(INDEX(G239:R239,1,MATCH(Parametres!$B$3,G$1:R$1,0)-1)*IF(OR(F239="L",F239="S",F239="I"),-1,1),"")</f>
        <v>0</v>
      </c>
      <c r="AM239" s="905">
        <f t="shared" si="13"/>
        <v>0</v>
      </c>
      <c r="AN239" s="905">
        <f>INDEX(G239:R239,1,MATCH(Parametres!$B$3,G$1:R$1,0))*IF(OR(F239="L",F239="S",F239="I"),-1,1)</f>
        <v>0</v>
      </c>
      <c r="AO239" s="487" t="e">
        <f>+VLOOKUP($AJ239,Data_Validation!$A:$D,1,0)</f>
        <v>#N/A</v>
      </c>
      <c r="AP239" s="487" t="e">
        <f>+VLOOKUP($AJ239,Data_Validation!$A:$D,3,0)</f>
        <v>#N/A</v>
      </c>
      <c r="AQ239" s="487" t="e">
        <f>+VLOOKUP($AJ239,Data_Validation!$A:$D,4,0)</f>
        <v>#N/A</v>
      </c>
      <c r="AR239" s="487" t="s">
        <v>299</v>
      </c>
      <c r="AS239" s="487" t="e">
        <f>+VLOOKUP($AJ239,Data_Validation!$A:$E,5,0)</f>
        <v>#N/A</v>
      </c>
      <c r="AT239" s="904">
        <f t="shared" si="14"/>
        <v>0</v>
      </c>
      <c r="AU239" s="488">
        <f t="shared" si="14"/>
        <v>0</v>
      </c>
      <c r="AV239" s="899">
        <f>IFERROR(INDEX(V239:AG239,1,MATCH(Parametres!$B$3,V$1:AG$1,0)-1)*IF(OR(C239="L",C239="S",C239="I"),-1,1),"")</f>
        <v>0</v>
      </c>
      <c r="AW239" s="899">
        <f t="shared" si="15"/>
        <v>0</v>
      </c>
      <c r="AX239" s="899">
        <f>INDEX(V239:AG239,1,MATCH(Parametres!$B$3,V$1:AG$1,0))*IF(OR(C239="L",C239="S",C239="I"),-1,1)</f>
        <v>0</v>
      </c>
      <c r="AY239" s="487" t="s">
        <v>337</v>
      </c>
      <c r="AZ239" s="487" t="e">
        <f>+VLOOKUP($AJ239,Data_Validation!$A:$E,5,0)</f>
        <v>#N/A</v>
      </c>
    </row>
    <row r="240" spans="36:52" ht="15" customHeight="1">
      <c r="AJ240" s="899">
        <f t="shared" si="12"/>
        <v>0</v>
      </c>
      <c r="AK240" s="899">
        <f t="shared" si="12"/>
        <v>0</v>
      </c>
      <c r="AL240" s="905">
        <f>IFERROR(INDEX(G240:R240,1,MATCH(Parametres!$B$3,G$1:R$1,0)-1)*IF(OR(F240="L",F240="S",F240="I"),-1,1),"")</f>
        <v>0</v>
      </c>
      <c r="AM240" s="905">
        <f t="shared" si="13"/>
        <v>0</v>
      </c>
      <c r="AN240" s="905">
        <f>INDEX(G240:R240,1,MATCH(Parametres!$B$3,G$1:R$1,0))*IF(OR(F240="L",F240="S",F240="I"),-1,1)</f>
        <v>0</v>
      </c>
      <c r="AO240" s="487" t="e">
        <f>+VLOOKUP($AJ240,Data_Validation!$A:$D,1,0)</f>
        <v>#N/A</v>
      </c>
      <c r="AP240" s="487" t="e">
        <f>+VLOOKUP($AJ240,Data_Validation!$A:$D,3,0)</f>
        <v>#N/A</v>
      </c>
      <c r="AQ240" s="487" t="e">
        <f>+VLOOKUP($AJ240,Data_Validation!$A:$D,4,0)</f>
        <v>#N/A</v>
      </c>
      <c r="AR240" s="487" t="s">
        <v>299</v>
      </c>
      <c r="AS240" s="487" t="e">
        <f>+VLOOKUP($AJ240,Data_Validation!$A:$E,5,0)</f>
        <v>#N/A</v>
      </c>
      <c r="AT240" s="904">
        <f t="shared" si="14"/>
        <v>0</v>
      </c>
      <c r="AU240" s="488">
        <f t="shared" si="14"/>
        <v>0</v>
      </c>
      <c r="AV240" s="899">
        <f>IFERROR(INDEX(V240:AG240,1,MATCH(Parametres!$B$3,V$1:AG$1,0)-1)*IF(OR(C240="L",C240="S",C240="I"),-1,1),"")</f>
        <v>0</v>
      </c>
      <c r="AW240" s="899">
        <f t="shared" si="15"/>
        <v>0</v>
      </c>
      <c r="AX240" s="899">
        <f>INDEX(V240:AG240,1,MATCH(Parametres!$B$3,V$1:AG$1,0))*IF(OR(C240="L",C240="S",C240="I"),-1,1)</f>
        <v>0</v>
      </c>
      <c r="AY240" s="487" t="s">
        <v>337</v>
      </c>
      <c r="AZ240" s="487" t="e">
        <f>+VLOOKUP($AJ240,Data_Validation!$A:$E,5,0)</f>
        <v>#N/A</v>
      </c>
    </row>
    <row r="241" spans="36:52" ht="15" customHeight="1">
      <c r="AJ241" s="899">
        <f t="shared" si="12"/>
        <v>0</v>
      </c>
      <c r="AK241" s="899">
        <f t="shared" si="12"/>
        <v>0</v>
      </c>
      <c r="AL241" s="905">
        <f>IFERROR(INDEX(G241:R241,1,MATCH(Parametres!$B$3,G$1:R$1,0)-1)*IF(OR(F241="L",F241="S",F241="I"),-1,1),"")</f>
        <v>0</v>
      </c>
      <c r="AM241" s="905">
        <f t="shared" si="13"/>
        <v>0</v>
      </c>
      <c r="AN241" s="905">
        <f>INDEX(G241:R241,1,MATCH(Parametres!$B$3,G$1:R$1,0))*IF(OR(F241="L",F241="S",F241="I"),-1,1)</f>
        <v>0</v>
      </c>
      <c r="AO241" s="487" t="e">
        <f>+VLOOKUP($AJ241,Data_Validation!$A:$D,1,0)</f>
        <v>#N/A</v>
      </c>
      <c r="AP241" s="487" t="e">
        <f>+VLOOKUP($AJ241,Data_Validation!$A:$D,3,0)</f>
        <v>#N/A</v>
      </c>
      <c r="AQ241" s="487" t="e">
        <f>+VLOOKUP($AJ241,Data_Validation!$A:$D,4,0)</f>
        <v>#N/A</v>
      </c>
      <c r="AR241" s="487" t="s">
        <v>299</v>
      </c>
      <c r="AS241" s="487" t="e">
        <f>+VLOOKUP($AJ241,Data_Validation!$A:$E,5,0)</f>
        <v>#N/A</v>
      </c>
      <c r="AT241" s="904">
        <f t="shared" si="14"/>
        <v>0</v>
      </c>
      <c r="AU241" s="488">
        <f t="shared" si="14"/>
        <v>0</v>
      </c>
      <c r="AV241" s="899">
        <f>IFERROR(INDEX(V241:AG241,1,MATCH(Parametres!$B$3,V$1:AG$1,0)-1)*IF(OR(C241="L",C241="S",C241="I"),-1,1),"")</f>
        <v>0</v>
      </c>
      <c r="AW241" s="899">
        <f t="shared" si="15"/>
        <v>0</v>
      </c>
      <c r="AX241" s="899">
        <f>INDEX(V241:AG241,1,MATCH(Parametres!$B$3,V$1:AG$1,0))*IF(OR(C241="L",C241="S",C241="I"),-1,1)</f>
        <v>0</v>
      </c>
      <c r="AY241" s="487" t="s">
        <v>337</v>
      </c>
      <c r="AZ241" s="487" t="e">
        <f>+VLOOKUP($AJ241,Data_Validation!$A:$E,5,0)</f>
        <v>#N/A</v>
      </c>
    </row>
    <row r="242" spans="36:52" ht="15" customHeight="1">
      <c r="AJ242" s="899">
        <f t="shared" si="12"/>
        <v>0</v>
      </c>
      <c r="AK242" s="899">
        <f t="shared" si="12"/>
        <v>0</v>
      </c>
      <c r="AL242" s="905">
        <f>IFERROR(INDEX(G242:R242,1,MATCH(Parametres!$B$3,G$1:R$1,0)-1)*IF(OR(F242="L",F242="S",F242="I"),-1,1),"")</f>
        <v>0</v>
      </c>
      <c r="AM242" s="905">
        <f t="shared" si="13"/>
        <v>0</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f t="shared" si="14"/>
        <v>0</v>
      </c>
      <c r="AU242" s="488">
        <f t="shared" si="14"/>
        <v>0</v>
      </c>
      <c r="AV242" s="899">
        <f>IFERROR(INDEX(V242:AG242,1,MATCH(Parametres!$B$3,V$1:AG$1,0)-1)*IF(OR(C242="L",C242="S",C242="I"),-1,1),"")</f>
        <v>0</v>
      </c>
      <c r="AW242" s="899">
        <f t="shared" si="15"/>
        <v>0</v>
      </c>
      <c r="AX242" s="899">
        <f>INDEX(V242:AG242,1,MATCH(Parametres!$B$3,V$1:AG$1,0))*IF(OR(C242="L",C242="S",C242="I"),-1,1)</f>
        <v>0</v>
      </c>
      <c r="AY242" s="487" t="s">
        <v>337</v>
      </c>
      <c r="AZ242" s="487" t="e">
        <f>+VLOOKUP($AJ242,Data_Validation!$A:$E,5,0)</f>
        <v>#N/A</v>
      </c>
    </row>
    <row r="243" spans="36:52" ht="15.75" customHeight="1">
      <c r="AJ243" s="899">
        <f t="shared" si="12"/>
        <v>0</v>
      </c>
      <c r="AK243" s="899">
        <f t="shared" si="12"/>
        <v>0</v>
      </c>
      <c r="AL243" s="905">
        <f>IFERROR(INDEX(G243:R243,1,MATCH(Parametres!$B$3,G$1:R$1,0)-1)*IF(OR(F243="L",F243="S",F243="I"),-1,1),"")</f>
        <v>0</v>
      </c>
      <c r="AM243" s="905">
        <f t="shared" si="13"/>
        <v>0</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f t="shared" si="14"/>
        <v>0</v>
      </c>
      <c r="AU243" s="488">
        <f t="shared" si="14"/>
        <v>0</v>
      </c>
      <c r="AV243" s="899">
        <f>IFERROR(INDEX(V243:AG243,1,MATCH(Parametres!$B$3,V$1:AG$1,0)-1)*IF(OR(C243="L",C243="S",C243="I"),-1,1),"")</f>
        <v>0</v>
      </c>
      <c r="AW243" s="899">
        <f t="shared" si="15"/>
        <v>0</v>
      </c>
      <c r="AX243" s="899">
        <f>INDEX(V243:AG243,1,MATCH(Parametres!$B$3,V$1:AG$1,0))*IF(OR(C243="L",C243="S",C243="I"),-1,1)</f>
        <v>0</v>
      </c>
      <c r="AY243" s="487" t="s">
        <v>337</v>
      </c>
      <c r="AZ243" s="487" t="e">
        <f>+VLOOKUP($AJ243,Data_Validation!$A:$E,5,0)</f>
        <v>#N/A</v>
      </c>
    </row>
    <row r="244" spans="36:52" ht="15" customHeight="1">
      <c r="AJ244" s="899">
        <f t="shared" si="12"/>
        <v>0</v>
      </c>
      <c r="AK244" s="899">
        <f t="shared" si="12"/>
        <v>0</v>
      </c>
      <c r="AL244" s="905">
        <f>IFERROR(INDEX(G244:R244,1,MATCH(Parametres!$B$3,G$1:R$1,0)-1)*IF(OR(F244="L",F244="S",F244="I"),-1,1),"")</f>
        <v>0</v>
      </c>
      <c r="AM244" s="905">
        <f t="shared" si="13"/>
        <v>0</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f t="shared" si="14"/>
        <v>0</v>
      </c>
      <c r="AU244" s="488">
        <f t="shared" si="14"/>
        <v>0</v>
      </c>
      <c r="AV244" s="899">
        <f>IFERROR(INDEX(V244:AG244,1,MATCH(Parametres!$B$3,V$1:AG$1,0)-1)*IF(OR(C244="L",C244="S",C244="I"),-1,1),"")</f>
        <v>0</v>
      </c>
      <c r="AW244" s="899">
        <f t="shared" si="15"/>
        <v>0</v>
      </c>
      <c r="AX244" s="899">
        <f>INDEX(V244:AG244,1,MATCH(Parametres!$B$3,V$1:AG$1,0))*IF(OR(C244="L",C244="S",C244="I"),-1,1)</f>
        <v>0</v>
      </c>
      <c r="AY244" s="487" t="s">
        <v>337</v>
      </c>
      <c r="AZ244" s="487" t="e">
        <f>+VLOOKUP($AJ244,Data_Validation!$A:$E,5,0)</f>
        <v>#N/A</v>
      </c>
    </row>
    <row r="245" spans="36:52" ht="15" customHeight="1">
      <c r="AJ245" s="899">
        <f t="shared" si="12"/>
        <v>0</v>
      </c>
      <c r="AK245" s="899">
        <f t="shared" si="12"/>
        <v>0</v>
      </c>
      <c r="AL245" s="905">
        <f>IFERROR(INDEX(G245:R245,1,MATCH(Parametres!$B$3,G$1:R$1,0)-1)*IF(OR(F245="L",F245="S",F245="I"),-1,1),"")</f>
        <v>0</v>
      </c>
      <c r="AM245" s="905">
        <f t="shared" si="13"/>
        <v>0</v>
      </c>
      <c r="AN245" s="905">
        <f>INDEX(G245:R245,1,MATCH(Parametres!$B$3,G$1:R$1,0))*IF(OR(F245="L",F245="S",F245="I"),-1,1)</f>
        <v>0</v>
      </c>
      <c r="AO245" s="487" t="e">
        <f>+VLOOKUP($AJ245,Data_Validation!$A:$D,1,0)</f>
        <v>#N/A</v>
      </c>
      <c r="AP245" s="487" t="e">
        <f>+VLOOKUP($AJ245,Data_Validation!$A:$D,3,0)</f>
        <v>#N/A</v>
      </c>
      <c r="AQ245" s="487" t="e">
        <f>+VLOOKUP($AJ245,Data_Validation!$A:$D,4,0)</f>
        <v>#N/A</v>
      </c>
      <c r="AR245" s="487" t="s">
        <v>299</v>
      </c>
      <c r="AS245" s="487" t="e">
        <f>+VLOOKUP($AJ245,Data_Validation!$A:$E,5,0)</f>
        <v>#N/A</v>
      </c>
      <c r="AT245" s="904">
        <f t="shared" si="14"/>
        <v>0</v>
      </c>
      <c r="AU245" s="488">
        <f t="shared" si="14"/>
        <v>0</v>
      </c>
      <c r="AV245" s="899">
        <f>IFERROR(INDEX(V245:AG245,1,MATCH(Parametres!$B$3,V$1:AG$1,0)-1)*IF(OR(C245="L",C245="S",C245="I"),-1,1),"")</f>
        <v>0</v>
      </c>
      <c r="AW245" s="899">
        <f t="shared" si="15"/>
        <v>0</v>
      </c>
      <c r="AX245" s="899">
        <f>INDEX(V245:AG245,1,MATCH(Parametres!$B$3,V$1:AG$1,0))*IF(OR(C245="L",C245="S",C245="I"),-1,1)</f>
        <v>0</v>
      </c>
      <c r="AY245" s="487" t="s">
        <v>337</v>
      </c>
      <c r="AZ245" s="487" t="e">
        <f>+VLOOKUP($AJ245,Data_Validation!$A:$E,5,0)</f>
        <v>#N/A</v>
      </c>
    </row>
    <row r="246" spans="36:52" ht="15" customHeight="1">
      <c r="AJ246" s="899">
        <f t="shared" si="12"/>
        <v>0</v>
      </c>
      <c r="AK246" s="899">
        <f t="shared" si="12"/>
        <v>0</v>
      </c>
      <c r="AL246" s="905">
        <f>IFERROR(INDEX(G246:R246,1,MATCH(Parametres!$B$3,G$1:R$1,0)-1)*IF(OR(F246="L",F246="S",F246="I"),-1,1),"")</f>
        <v>0</v>
      </c>
      <c r="AM246" s="905">
        <f t="shared" si="13"/>
        <v>0</v>
      </c>
      <c r="AN246" s="905">
        <f>INDEX(G246:R246,1,MATCH(Parametres!$B$3,G$1:R$1,0))*IF(OR(F246="L",F246="S",F246="I"),-1,1)</f>
        <v>0</v>
      </c>
      <c r="AO246" s="487" t="e">
        <f>+VLOOKUP($AJ246,Data_Validation!$A:$D,1,0)</f>
        <v>#N/A</v>
      </c>
      <c r="AP246" s="487" t="e">
        <f>+VLOOKUP($AJ246,Data_Validation!$A:$D,3,0)</f>
        <v>#N/A</v>
      </c>
      <c r="AQ246" s="487" t="e">
        <f>+VLOOKUP($AJ246,Data_Validation!$A:$D,4,0)</f>
        <v>#N/A</v>
      </c>
      <c r="AR246" s="487" t="s">
        <v>299</v>
      </c>
      <c r="AS246" s="487" t="e">
        <f>+VLOOKUP($AJ246,Data_Validation!$A:$E,5,0)</f>
        <v>#N/A</v>
      </c>
      <c r="AT246" s="904">
        <f t="shared" si="14"/>
        <v>0</v>
      </c>
      <c r="AU246" s="488">
        <f t="shared" si="14"/>
        <v>0</v>
      </c>
      <c r="AV246" s="899">
        <f>IFERROR(INDEX(V246:AG246,1,MATCH(Parametres!$B$3,V$1:AG$1,0)-1)*IF(OR(C246="L",C246="S",C246="I"),-1,1),"")</f>
        <v>0</v>
      </c>
      <c r="AW246" s="899">
        <f t="shared" si="15"/>
        <v>0</v>
      </c>
      <c r="AX246" s="899">
        <f>INDEX(V246:AG246,1,MATCH(Parametres!$B$3,V$1:AG$1,0))*IF(OR(C246="L",C246="S",C246="I"),-1,1)</f>
        <v>0</v>
      </c>
      <c r="AY246" s="487" t="s">
        <v>337</v>
      </c>
      <c r="AZ246" s="487" t="e">
        <f>+VLOOKUP($AJ246,Data_Validation!$A:$E,5,0)</f>
        <v>#N/A</v>
      </c>
    </row>
    <row r="247" spans="36:52" ht="15.75" customHeight="1">
      <c r="AJ247" s="899">
        <f t="shared" si="12"/>
        <v>0</v>
      </c>
      <c r="AK247" s="899">
        <f t="shared" si="12"/>
        <v>0</v>
      </c>
      <c r="AL247" s="905">
        <f>IFERROR(INDEX(G247:R247,1,MATCH(Parametres!$B$3,G$1:R$1,0)-1)*IF(OR(F247="L",F247="S",F247="I"),-1,1),"")</f>
        <v>0</v>
      </c>
      <c r="AM247" s="905">
        <f t="shared" si="13"/>
        <v>0</v>
      </c>
      <c r="AN247" s="905">
        <f>INDEX(G247:R247,1,MATCH(Parametres!$B$3,G$1:R$1,0))*IF(OR(F247="L",F247="S",F247="I"),-1,1)</f>
        <v>0</v>
      </c>
      <c r="AO247" s="487" t="e">
        <f>+VLOOKUP($AJ247,Data_Validation!$A:$D,1,0)</f>
        <v>#N/A</v>
      </c>
      <c r="AP247" s="487" t="e">
        <f>+VLOOKUP($AJ247,Data_Validation!$A:$D,3,0)</f>
        <v>#N/A</v>
      </c>
      <c r="AQ247" s="487" t="e">
        <f>+VLOOKUP($AJ247,Data_Validation!$A:$D,4,0)</f>
        <v>#N/A</v>
      </c>
      <c r="AR247" s="487" t="s">
        <v>299</v>
      </c>
      <c r="AS247" s="487" t="e">
        <f>+VLOOKUP($AJ247,Data_Validation!$A:$E,5,0)</f>
        <v>#N/A</v>
      </c>
      <c r="AT247" s="904">
        <f t="shared" si="14"/>
        <v>0</v>
      </c>
      <c r="AU247" s="488">
        <f t="shared" si="14"/>
        <v>0</v>
      </c>
      <c r="AV247" s="899">
        <f>IFERROR(INDEX(V247:AG247,1,MATCH(Parametres!$B$3,V$1:AG$1,0)-1)*IF(OR(C247="L",C247="S",C247="I"),-1,1),"")</f>
        <v>0</v>
      </c>
      <c r="AW247" s="899">
        <f t="shared" si="15"/>
        <v>0</v>
      </c>
      <c r="AX247" s="899">
        <f>INDEX(V247:AG247,1,MATCH(Parametres!$B$3,V$1:AG$1,0))*IF(OR(C247="L",C247="S",C247="I"),-1,1)</f>
        <v>0</v>
      </c>
      <c r="AY247" s="487" t="s">
        <v>337</v>
      </c>
      <c r="AZ247" s="487" t="e">
        <f>+VLOOKUP($AJ247,Data_Validation!$A:$E,5,0)</f>
        <v>#N/A</v>
      </c>
    </row>
    <row r="248" spans="36:52" ht="15" customHeight="1">
      <c r="AJ248" s="899">
        <f t="shared" si="12"/>
        <v>0</v>
      </c>
      <c r="AK248" s="899">
        <f t="shared" si="12"/>
        <v>0</v>
      </c>
      <c r="AL248" s="905">
        <f>IFERROR(INDEX(G248:R248,1,MATCH(Parametres!$B$3,G$1:R$1,0)-1)*IF(OR(F248="L",F248="S",F248="I"),-1,1),"")</f>
        <v>0</v>
      </c>
      <c r="AM248" s="905">
        <f t="shared" si="13"/>
        <v>0</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f t="shared" si="14"/>
        <v>0</v>
      </c>
      <c r="AU248" s="488">
        <f t="shared" si="14"/>
        <v>0</v>
      </c>
      <c r="AV248" s="899">
        <f>IFERROR(INDEX(V248:AG248,1,MATCH(Parametres!$B$3,V$1:AG$1,0)-1)*IF(OR(C248="L",C248="S",C248="I"),-1,1),"")</f>
        <v>0</v>
      </c>
      <c r="AW248" s="899">
        <f t="shared" si="15"/>
        <v>0</v>
      </c>
      <c r="AX248" s="899">
        <f>INDEX(V248:AG248,1,MATCH(Parametres!$B$3,V$1:AG$1,0))*IF(OR(C248="L",C248="S",C248="I"),-1,1)</f>
        <v>0</v>
      </c>
      <c r="AY248" s="487" t="s">
        <v>337</v>
      </c>
      <c r="AZ248" s="487" t="e">
        <f>+VLOOKUP($AJ248,Data_Validation!$A:$E,5,0)</f>
        <v>#N/A</v>
      </c>
    </row>
    <row r="249" spans="36:52" ht="15" customHeight="1">
      <c r="AJ249" s="899">
        <f t="shared" si="12"/>
        <v>0</v>
      </c>
      <c r="AK249" s="899">
        <f t="shared" si="12"/>
        <v>0</v>
      </c>
      <c r="AL249" s="905">
        <f>IFERROR(INDEX(G249:R249,1,MATCH(Parametres!$B$3,G$1:R$1,0)-1)*IF(OR(F249="L",F249="S",F249="I"),-1,1),"")</f>
        <v>0</v>
      </c>
      <c r="AM249" s="905">
        <f t="shared" si="13"/>
        <v>0</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f t="shared" si="14"/>
        <v>0</v>
      </c>
      <c r="AU249" s="488">
        <f t="shared" si="14"/>
        <v>0</v>
      </c>
      <c r="AV249" s="899">
        <f>IFERROR(INDEX(V249:AG249,1,MATCH(Parametres!$B$3,V$1:AG$1,0)-1)*IF(OR(C249="L",C249="S",C249="I"),-1,1),"")</f>
        <v>0</v>
      </c>
      <c r="AW249" s="899">
        <f t="shared" si="15"/>
        <v>0</v>
      </c>
      <c r="AX249" s="899">
        <f>INDEX(V249:AG249,1,MATCH(Parametres!$B$3,V$1:AG$1,0))*IF(OR(C249="L",C249="S",C249="I"),-1,1)</f>
        <v>0</v>
      </c>
      <c r="AY249" s="487" t="s">
        <v>337</v>
      </c>
      <c r="AZ249" s="487" t="e">
        <f>+VLOOKUP($AJ249,Data_Validation!$A:$E,5,0)</f>
        <v>#N/A</v>
      </c>
    </row>
    <row r="250" spans="36:52" ht="15" customHeight="1">
      <c r="AJ250" s="899">
        <f t="shared" si="12"/>
        <v>0</v>
      </c>
      <c r="AK250" s="899">
        <f t="shared" si="12"/>
        <v>0</v>
      </c>
      <c r="AL250" s="905">
        <f>IFERROR(INDEX(G250:R250,1,MATCH(Parametres!$B$3,G$1:R$1,0)-1)*IF(OR(F250="L",F250="S",F250="I"),-1,1),"")</f>
        <v>0</v>
      </c>
      <c r="AM250" s="905">
        <f t="shared" si="13"/>
        <v>0</v>
      </c>
      <c r="AN250" s="905">
        <f>INDEX(G250:R250,1,MATCH(Parametres!$B$3,G$1:R$1,0))*IF(OR(F250="L",F250="S",F250="I"),-1,1)</f>
        <v>0</v>
      </c>
      <c r="AO250" s="487" t="e">
        <f>+VLOOKUP($AJ250,Data_Validation!$A:$D,1,0)</f>
        <v>#N/A</v>
      </c>
      <c r="AP250" s="487" t="e">
        <f>+VLOOKUP($AJ250,Data_Validation!$A:$D,3,0)</f>
        <v>#N/A</v>
      </c>
      <c r="AQ250" s="487" t="e">
        <f>+VLOOKUP($AJ250,Data_Validation!$A:$D,4,0)</f>
        <v>#N/A</v>
      </c>
      <c r="AR250" s="487" t="s">
        <v>299</v>
      </c>
      <c r="AS250" s="487" t="e">
        <f>+VLOOKUP($AJ250,Data_Validation!$A:$E,5,0)</f>
        <v>#N/A</v>
      </c>
      <c r="AT250" s="904">
        <f t="shared" si="14"/>
        <v>0</v>
      </c>
      <c r="AU250" s="488">
        <f t="shared" si="14"/>
        <v>0</v>
      </c>
      <c r="AV250" s="899">
        <f>IFERROR(INDEX(V250:AG250,1,MATCH(Parametres!$B$3,V$1:AG$1,0)-1)*IF(OR(C250="L",C250="S",C250="I"),-1,1),"")</f>
        <v>0</v>
      </c>
      <c r="AW250" s="899">
        <f t="shared" si="15"/>
        <v>0</v>
      </c>
      <c r="AX250" s="899">
        <f>INDEX(V250:AG250,1,MATCH(Parametres!$B$3,V$1:AG$1,0))*IF(OR(C250="L",C250="S",C250="I"),-1,1)</f>
        <v>0</v>
      </c>
      <c r="AY250" s="487" t="s">
        <v>337</v>
      </c>
      <c r="AZ250" s="487" t="e">
        <f>+VLOOKUP($AJ250,Data_Validation!$A:$E,5,0)</f>
        <v>#N/A</v>
      </c>
    </row>
    <row r="251" spans="36:52" ht="15" customHeight="1">
      <c r="AJ251" s="899">
        <f t="shared" si="12"/>
        <v>0</v>
      </c>
      <c r="AK251" s="899">
        <f t="shared" si="12"/>
        <v>0</v>
      </c>
      <c r="AL251" s="905">
        <f>IFERROR(INDEX(G251:R251,1,MATCH(Parametres!$B$3,G$1:R$1,0)-1)*IF(OR(F251="L",F251="S",F251="I"),-1,1),"")</f>
        <v>0</v>
      </c>
      <c r="AM251" s="905">
        <f t="shared" si="13"/>
        <v>0</v>
      </c>
      <c r="AN251" s="905">
        <f>INDEX(G251:R251,1,MATCH(Parametres!$B$3,G$1:R$1,0))*IF(OR(F251="L",F251="S",F251="I"),-1,1)</f>
        <v>0</v>
      </c>
      <c r="AO251" s="487" t="e">
        <f>+VLOOKUP($AJ251,Data_Validation!$A:$D,1,0)</f>
        <v>#N/A</v>
      </c>
      <c r="AP251" s="487" t="e">
        <f>+VLOOKUP($AJ251,Data_Validation!$A:$D,3,0)</f>
        <v>#N/A</v>
      </c>
      <c r="AQ251" s="487" t="e">
        <f>+VLOOKUP($AJ251,Data_Validation!$A:$D,4,0)</f>
        <v>#N/A</v>
      </c>
      <c r="AR251" s="487" t="s">
        <v>299</v>
      </c>
      <c r="AS251" s="487" t="e">
        <f>+VLOOKUP($AJ251,Data_Validation!$A:$E,5,0)</f>
        <v>#N/A</v>
      </c>
      <c r="AT251" s="904">
        <f t="shared" si="14"/>
        <v>0</v>
      </c>
      <c r="AU251" s="488">
        <f t="shared" si="14"/>
        <v>0</v>
      </c>
      <c r="AV251" s="899">
        <f>IFERROR(INDEX(V251:AG251,1,MATCH(Parametres!$B$3,V$1:AG$1,0)-1)*IF(OR(C251="L",C251="S",C251="I"),-1,1),"")</f>
        <v>0</v>
      </c>
      <c r="AW251" s="899">
        <f t="shared" si="15"/>
        <v>0</v>
      </c>
      <c r="AX251" s="899">
        <f>INDEX(V251:AG251,1,MATCH(Parametres!$B$3,V$1:AG$1,0))*IF(OR(C251="L",C251="S",C251="I"),-1,1)</f>
        <v>0</v>
      </c>
      <c r="AY251" s="487" t="s">
        <v>337</v>
      </c>
      <c r="AZ251" s="487" t="e">
        <f>+VLOOKUP($AJ251,Data_Validation!$A:$E,5,0)</f>
        <v>#N/A</v>
      </c>
    </row>
    <row r="252" spans="36:52" ht="15.75" customHeight="1">
      <c r="AJ252" s="899">
        <f t="shared" si="12"/>
        <v>0</v>
      </c>
      <c r="AK252" s="899">
        <f t="shared" si="12"/>
        <v>0</v>
      </c>
      <c r="AL252" s="905">
        <f>IFERROR(INDEX(G252:R252,1,MATCH(Parametres!$B$3,G$1:R$1,0)-1)*IF(OR(F252="L",F252="S",F252="I"),-1,1),"")</f>
        <v>0</v>
      </c>
      <c r="AM252" s="905">
        <f t="shared" si="13"/>
        <v>0</v>
      </c>
      <c r="AN252" s="905">
        <f>INDEX(G252:R252,1,MATCH(Parametres!$B$3,G$1:R$1,0))*IF(OR(F252="L",F252="S",F252="I"),-1,1)</f>
        <v>0</v>
      </c>
      <c r="AO252" s="487" t="e">
        <f>+VLOOKUP($AJ252,Data_Validation!$A:$D,1,0)</f>
        <v>#N/A</v>
      </c>
      <c r="AP252" s="487" t="e">
        <f>+VLOOKUP($AJ252,Data_Validation!$A:$D,3,0)</f>
        <v>#N/A</v>
      </c>
      <c r="AQ252" s="487" t="e">
        <f>+VLOOKUP($AJ252,Data_Validation!$A:$D,4,0)</f>
        <v>#N/A</v>
      </c>
      <c r="AR252" s="487" t="s">
        <v>299</v>
      </c>
      <c r="AS252" s="487" t="e">
        <f>+VLOOKUP($AJ252,Data_Validation!$A:$E,5,0)</f>
        <v>#N/A</v>
      </c>
      <c r="AT252" s="904">
        <f t="shared" si="14"/>
        <v>0</v>
      </c>
      <c r="AU252" s="488">
        <f t="shared" si="14"/>
        <v>0</v>
      </c>
      <c r="AV252" s="899">
        <f>IFERROR(INDEX(V252:AG252,1,MATCH(Parametres!$B$3,V$1:AG$1,0)-1)*IF(OR(C252="L",C252="S",C252="I"),-1,1),"")</f>
        <v>0</v>
      </c>
      <c r="AW252" s="899">
        <f t="shared" si="15"/>
        <v>0</v>
      </c>
      <c r="AX252" s="899">
        <f>INDEX(V252:AG252,1,MATCH(Parametres!$B$3,V$1:AG$1,0))*IF(OR(C252="L",C252="S",C252="I"),-1,1)</f>
        <v>0</v>
      </c>
      <c r="AY252" s="487" t="s">
        <v>337</v>
      </c>
      <c r="AZ252" s="487" t="e">
        <f>+VLOOKUP($AJ252,Data_Validation!$A:$E,5,0)</f>
        <v>#N/A</v>
      </c>
    </row>
    <row r="253" spans="36:52" ht="15" customHeight="1">
      <c r="AJ253" s="899">
        <f t="shared" si="12"/>
        <v>0</v>
      </c>
      <c r="AK253" s="899">
        <f t="shared" si="12"/>
        <v>0</v>
      </c>
      <c r="AL253" s="905">
        <f>IFERROR(INDEX(G253:R253,1,MATCH(Parametres!$B$3,G$1:R$1,0)-1)*IF(OR(F253="L",F253="S",F253="I"),-1,1),"")</f>
        <v>0</v>
      </c>
      <c r="AM253" s="905">
        <f t="shared" si="13"/>
        <v>0</v>
      </c>
      <c r="AN253" s="905">
        <f>INDEX(G253:R253,1,MATCH(Parametres!$B$3,G$1:R$1,0))*IF(OR(F253="L",F253="S",F253="I"),-1,1)</f>
        <v>0</v>
      </c>
      <c r="AO253" s="487" t="e">
        <f>+VLOOKUP($AJ253,Data_Validation!$A:$D,1,0)</f>
        <v>#N/A</v>
      </c>
      <c r="AP253" s="487" t="e">
        <f>+VLOOKUP($AJ253,Data_Validation!$A:$D,3,0)</f>
        <v>#N/A</v>
      </c>
      <c r="AQ253" s="487" t="e">
        <f>+VLOOKUP($AJ253,Data_Validation!$A:$D,4,0)</f>
        <v>#N/A</v>
      </c>
      <c r="AR253" s="487" t="s">
        <v>299</v>
      </c>
      <c r="AS253" s="487" t="e">
        <f>+VLOOKUP($AJ253,Data_Validation!$A:$E,5,0)</f>
        <v>#N/A</v>
      </c>
      <c r="AT253" s="904">
        <f t="shared" si="14"/>
        <v>0</v>
      </c>
      <c r="AU253" s="488">
        <f t="shared" si="14"/>
        <v>0</v>
      </c>
      <c r="AV253" s="899">
        <f>IFERROR(INDEX(V253:AG253,1,MATCH(Parametres!$B$3,V$1:AG$1,0)-1)*IF(OR(C253="L",C253="S",C253="I"),-1,1),"")</f>
        <v>0</v>
      </c>
      <c r="AW253" s="899">
        <f t="shared" si="15"/>
        <v>0</v>
      </c>
      <c r="AX253" s="899">
        <f>INDEX(V253:AG253,1,MATCH(Parametres!$B$3,V$1:AG$1,0))*IF(OR(C253="L",C253="S",C253="I"),-1,1)</f>
        <v>0</v>
      </c>
      <c r="AY253" s="487" t="s">
        <v>337</v>
      </c>
      <c r="AZ253" s="487" t="e">
        <f>+VLOOKUP($AJ253,Data_Validation!$A:$E,5,0)</f>
        <v>#N/A</v>
      </c>
    </row>
    <row r="254" spans="36:52" ht="15" customHeight="1">
      <c r="AJ254" s="899">
        <f t="shared" si="12"/>
        <v>0</v>
      </c>
      <c r="AK254" s="899">
        <f t="shared" si="12"/>
        <v>0</v>
      </c>
      <c r="AL254" s="905">
        <f>IFERROR(INDEX(G254:R254,1,MATCH(Parametres!$B$3,G$1:R$1,0)-1)*IF(OR(F254="L",F254="S",F254="I"),-1,1),"")</f>
        <v>0</v>
      </c>
      <c r="AM254" s="905">
        <f t="shared" si="13"/>
        <v>0</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f t="shared" si="14"/>
        <v>0</v>
      </c>
      <c r="AU254" s="488">
        <f t="shared" si="14"/>
        <v>0</v>
      </c>
      <c r="AV254" s="899">
        <f>IFERROR(INDEX(V254:AG254,1,MATCH(Parametres!$B$3,V$1:AG$1,0)-1)*IF(OR(C254="L",C254="S",C254="I"),-1,1),"")</f>
        <v>0</v>
      </c>
      <c r="AW254" s="899">
        <f t="shared" si="15"/>
        <v>0</v>
      </c>
      <c r="AX254" s="899">
        <f>INDEX(V254:AG254,1,MATCH(Parametres!$B$3,V$1:AG$1,0))*IF(OR(C254="L",C254="S",C254="I"),-1,1)</f>
        <v>0</v>
      </c>
      <c r="AY254" s="487" t="s">
        <v>337</v>
      </c>
      <c r="AZ254" s="487" t="e">
        <f>+VLOOKUP($AJ254,Data_Validation!$A:$E,5,0)</f>
        <v>#N/A</v>
      </c>
    </row>
    <row r="255" spans="36:52" ht="15" customHeight="1">
      <c r="AJ255" s="899">
        <f t="shared" si="12"/>
        <v>0</v>
      </c>
      <c r="AK255" s="899">
        <f t="shared" si="12"/>
        <v>0</v>
      </c>
      <c r="AL255" s="905">
        <f>IFERROR(INDEX(G255:R255,1,MATCH(Parametres!$B$3,G$1:R$1,0)-1)*IF(OR(F255="L",F255="S",F255="I"),-1,1),"")</f>
        <v>0</v>
      </c>
      <c r="AM255" s="905">
        <f t="shared" si="13"/>
        <v>0</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f t="shared" si="14"/>
        <v>0</v>
      </c>
      <c r="AU255" s="488">
        <f t="shared" si="14"/>
        <v>0</v>
      </c>
      <c r="AV255" s="899">
        <f>IFERROR(INDEX(V255:AG255,1,MATCH(Parametres!$B$3,V$1:AG$1,0)-1)*IF(OR(C255="L",C255="S",C255="I"),-1,1),"")</f>
        <v>0</v>
      </c>
      <c r="AW255" s="899">
        <f t="shared" si="15"/>
        <v>0</v>
      </c>
      <c r="AX255" s="899">
        <f>INDEX(V255:AG255,1,MATCH(Parametres!$B$3,V$1:AG$1,0))*IF(OR(C255="L",C255="S",C255="I"),-1,1)</f>
        <v>0</v>
      </c>
      <c r="AY255" s="487" t="s">
        <v>337</v>
      </c>
      <c r="AZ255" s="487" t="e">
        <f>+VLOOKUP($AJ255,Data_Validation!$A:$E,5,0)</f>
        <v>#N/A</v>
      </c>
    </row>
    <row r="256" spans="36:52" ht="15.75" customHeight="1">
      <c r="AJ256" s="899">
        <f t="shared" si="12"/>
        <v>0</v>
      </c>
      <c r="AK256" s="899">
        <f t="shared" si="12"/>
        <v>0</v>
      </c>
      <c r="AL256" s="905">
        <f>IFERROR(INDEX(G256:R256,1,MATCH(Parametres!$B$3,G$1:R$1,0)-1)*IF(OR(F256="L",F256="S",F256="I"),-1,1),"")</f>
        <v>0</v>
      </c>
      <c r="AM256" s="905">
        <f t="shared" si="13"/>
        <v>0</v>
      </c>
      <c r="AN256" s="905">
        <f>INDEX(G256:R256,1,MATCH(Parametres!$B$3,G$1:R$1,0))*IF(OR(F256="L",F256="S",F256="I"),-1,1)</f>
        <v>0</v>
      </c>
      <c r="AO256" s="487" t="e">
        <f>+VLOOKUP($AJ256,Data_Validation!$A:$D,1,0)</f>
        <v>#N/A</v>
      </c>
      <c r="AP256" s="487" t="e">
        <f>+VLOOKUP($AJ256,Data_Validation!$A:$D,3,0)</f>
        <v>#N/A</v>
      </c>
      <c r="AQ256" s="487" t="e">
        <f>+VLOOKUP($AJ256,Data_Validation!$A:$D,4,0)</f>
        <v>#N/A</v>
      </c>
      <c r="AR256" s="487" t="s">
        <v>299</v>
      </c>
      <c r="AS256" s="487" t="e">
        <f>+VLOOKUP($AJ256,Data_Validation!$A:$E,5,0)</f>
        <v>#N/A</v>
      </c>
      <c r="AT256" s="904">
        <f t="shared" si="14"/>
        <v>0</v>
      </c>
      <c r="AU256" s="488">
        <f t="shared" si="14"/>
        <v>0</v>
      </c>
      <c r="AV256" s="899">
        <f>IFERROR(INDEX(V256:AG256,1,MATCH(Parametres!$B$3,V$1:AG$1,0)-1)*IF(OR(C256="L",C256="S",C256="I"),-1,1),"")</f>
        <v>0</v>
      </c>
      <c r="AW256" s="899">
        <f t="shared" si="15"/>
        <v>0</v>
      </c>
      <c r="AX256" s="899">
        <f>INDEX(V256:AG256,1,MATCH(Parametres!$B$3,V$1:AG$1,0))*IF(OR(C256="L",C256="S",C256="I"),-1,1)</f>
        <v>0</v>
      </c>
      <c r="AY256" s="487" t="s">
        <v>337</v>
      </c>
      <c r="AZ256" s="487" t="e">
        <f>+VLOOKUP($AJ256,Data_Validation!$A:$E,5,0)</f>
        <v>#N/A</v>
      </c>
    </row>
    <row r="257" spans="36:52" ht="15" customHeight="1">
      <c r="AJ257" s="899">
        <f t="shared" si="12"/>
        <v>0</v>
      </c>
      <c r="AK257" s="899">
        <f t="shared" si="12"/>
        <v>0</v>
      </c>
      <c r="AL257" s="905">
        <f>IFERROR(INDEX(G257:R257,1,MATCH(Parametres!$B$3,G$1:R$1,0)-1)*IF(OR(F257="L",F257="S",F257="I"),-1,1),"")</f>
        <v>0</v>
      </c>
      <c r="AM257" s="905">
        <f t="shared" si="13"/>
        <v>0</v>
      </c>
      <c r="AN257" s="905">
        <f>INDEX(G257:R257,1,MATCH(Parametres!$B$3,G$1:R$1,0))*IF(OR(F257="L",F257="S",F257="I"),-1,1)</f>
        <v>0</v>
      </c>
      <c r="AO257" s="487" t="e">
        <f>+VLOOKUP($AJ257,Data_Validation!$A:$D,1,0)</f>
        <v>#N/A</v>
      </c>
      <c r="AP257" s="487" t="e">
        <f>+VLOOKUP($AJ257,Data_Validation!$A:$D,3,0)</f>
        <v>#N/A</v>
      </c>
      <c r="AQ257" s="487" t="e">
        <f>+VLOOKUP($AJ257,Data_Validation!$A:$D,4,0)</f>
        <v>#N/A</v>
      </c>
      <c r="AR257" s="487" t="s">
        <v>299</v>
      </c>
      <c r="AS257" s="487" t="e">
        <f>+VLOOKUP($AJ257,Data_Validation!$A:$E,5,0)</f>
        <v>#N/A</v>
      </c>
      <c r="AT257" s="904">
        <f t="shared" si="14"/>
        <v>0</v>
      </c>
      <c r="AU257" s="488">
        <f t="shared" si="14"/>
        <v>0</v>
      </c>
      <c r="AV257" s="899">
        <f>IFERROR(INDEX(V257:AG257,1,MATCH(Parametres!$B$3,V$1:AG$1,0)-1)*IF(OR(C257="L",C257="S",C257="I"),-1,1),"")</f>
        <v>0</v>
      </c>
      <c r="AW257" s="899">
        <f t="shared" si="15"/>
        <v>0</v>
      </c>
      <c r="AX257" s="899">
        <f>INDEX(V257:AG257,1,MATCH(Parametres!$B$3,V$1:AG$1,0))*IF(OR(C257="L",C257="S",C257="I"),-1,1)</f>
        <v>0</v>
      </c>
      <c r="AY257" s="487" t="s">
        <v>337</v>
      </c>
      <c r="AZ257" s="487" t="e">
        <f>+VLOOKUP($AJ257,Data_Validation!$A:$E,5,0)</f>
        <v>#N/A</v>
      </c>
    </row>
    <row r="258" spans="36:52" ht="15" customHeight="1">
      <c r="AJ258" s="899">
        <f t="shared" si="12"/>
        <v>0</v>
      </c>
      <c r="AK258" s="899">
        <f t="shared" si="12"/>
        <v>0</v>
      </c>
      <c r="AL258" s="905">
        <f>IFERROR(INDEX(G258:R258,1,MATCH(Parametres!$B$3,G$1:R$1,0)-1)*IF(OR(F258="L",F258="S",F258="I"),-1,1),"")</f>
        <v>0</v>
      </c>
      <c r="AM258" s="905">
        <f t="shared" si="13"/>
        <v>0</v>
      </c>
      <c r="AN258" s="905">
        <f>INDEX(G258:R258,1,MATCH(Parametres!$B$3,G$1:R$1,0))*IF(OR(F258="L",F258="S",F258="I"),-1,1)</f>
        <v>0</v>
      </c>
      <c r="AO258" s="487" t="e">
        <f>+VLOOKUP($AJ258,Data_Validation!$A:$D,1,0)</f>
        <v>#N/A</v>
      </c>
      <c r="AP258" s="487" t="e">
        <f>+VLOOKUP($AJ258,Data_Validation!$A:$D,3,0)</f>
        <v>#N/A</v>
      </c>
      <c r="AQ258" s="487" t="e">
        <f>+VLOOKUP($AJ258,Data_Validation!$A:$D,4,0)</f>
        <v>#N/A</v>
      </c>
      <c r="AR258" s="487" t="s">
        <v>299</v>
      </c>
      <c r="AS258" s="487" t="e">
        <f>+VLOOKUP($AJ258,Data_Validation!$A:$E,5,0)</f>
        <v>#N/A</v>
      </c>
      <c r="AT258" s="904">
        <f t="shared" si="14"/>
        <v>0</v>
      </c>
      <c r="AU258" s="488">
        <f t="shared" si="14"/>
        <v>0</v>
      </c>
      <c r="AV258" s="899">
        <f>IFERROR(INDEX(V258:AG258,1,MATCH(Parametres!$B$3,V$1:AG$1,0)-1)*IF(OR(C258="L",C258="S",C258="I"),-1,1),"")</f>
        <v>0</v>
      </c>
      <c r="AW258" s="899">
        <f t="shared" si="15"/>
        <v>0</v>
      </c>
      <c r="AX258" s="899">
        <f>INDEX(V258:AG258,1,MATCH(Parametres!$B$3,V$1:AG$1,0))*IF(OR(C258="L",C258="S",C258="I"),-1,1)</f>
        <v>0</v>
      </c>
      <c r="AY258" s="487" t="s">
        <v>337</v>
      </c>
      <c r="AZ258" s="487" t="e">
        <f>+VLOOKUP($AJ258,Data_Validation!$A:$E,5,0)</f>
        <v>#N/A</v>
      </c>
    </row>
    <row r="259" spans="36:52" ht="15" customHeight="1">
      <c r="AJ259" s="899">
        <f t="shared" si="12"/>
        <v>0</v>
      </c>
      <c r="AK259" s="899">
        <f t="shared" si="12"/>
        <v>0</v>
      </c>
      <c r="AL259" s="905">
        <f>IFERROR(INDEX(G259:R259,1,MATCH(Parametres!$B$3,G$1:R$1,0)-1)*IF(OR(F259="L",F259="S",F259="I"),-1,1),"")</f>
        <v>0</v>
      </c>
      <c r="AM259" s="905">
        <f t="shared" si="13"/>
        <v>0</v>
      </c>
      <c r="AN259" s="905">
        <f>INDEX(G259:R259,1,MATCH(Parametres!$B$3,G$1:R$1,0))*IF(OR(F259="L",F259="S",F259="I"),-1,1)</f>
        <v>0</v>
      </c>
      <c r="AO259" s="487" t="e">
        <f>+VLOOKUP($AJ259,Data_Validation!$A:$D,1,0)</f>
        <v>#N/A</v>
      </c>
      <c r="AP259" s="487" t="e">
        <f>+VLOOKUP($AJ259,Data_Validation!$A:$D,3,0)</f>
        <v>#N/A</v>
      </c>
      <c r="AQ259" s="487" t="e">
        <f>+VLOOKUP($AJ259,Data_Validation!$A:$D,4,0)</f>
        <v>#N/A</v>
      </c>
      <c r="AR259" s="487" t="s">
        <v>299</v>
      </c>
      <c r="AS259" s="487" t="e">
        <f>+VLOOKUP($AJ259,Data_Validation!$A:$E,5,0)</f>
        <v>#N/A</v>
      </c>
      <c r="AT259" s="904">
        <f t="shared" si="14"/>
        <v>0</v>
      </c>
      <c r="AU259" s="488">
        <f t="shared" si="14"/>
        <v>0</v>
      </c>
      <c r="AV259" s="899">
        <f>IFERROR(INDEX(V259:AG259,1,MATCH(Parametres!$B$3,V$1:AG$1,0)-1)*IF(OR(C259="L",C259="S",C259="I"),-1,1),"")</f>
        <v>0</v>
      </c>
      <c r="AW259" s="899">
        <f t="shared" si="15"/>
        <v>0</v>
      </c>
      <c r="AX259" s="899">
        <f>INDEX(V259:AG259,1,MATCH(Parametres!$B$3,V$1:AG$1,0))*IF(OR(C259="L",C259="S",C259="I"),-1,1)</f>
        <v>0</v>
      </c>
      <c r="AY259" s="487" t="s">
        <v>337</v>
      </c>
      <c r="AZ259" s="487" t="e">
        <f>+VLOOKUP($AJ259,Data_Validation!$A:$E,5,0)</f>
        <v>#N/A</v>
      </c>
    </row>
    <row r="260" spans="36:52" ht="15" customHeight="1">
      <c r="AJ260" s="899">
        <f t="shared" ref="AJ260:AK323" si="16">C260</f>
        <v>0</v>
      </c>
      <c r="AK260" s="899">
        <f t="shared" si="16"/>
        <v>0</v>
      </c>
      <c r="AL260" s="905">
        <f>IFERROR(INDEX(G260:R260,1,MATCH(Parametres!$B$3,G$1:R$1,0)-1)*IF(OR(F260="L",F260="S",F260="I"),-1,1),"")</f>
        <v>0</v>
      </c>
      <c r="AM260" s="905">
        <f t="shared" ref="AM260:AM323" si="17">AN260-AL260</f>
        <v>0</v>
      </c>
      <c r="AN260" s="905">
        <f>INDEX(G260:R260,1,MATCH(Parametres!$B$3,G$1:R$1,0))*IF(OR(F260="L",F260="S",F260="I"),-1,1)</f>
        <v>0</v>
      </c>
      <c r="AO260" s="487" t="e">
        <f>+VLOOKUP($AJ260,Data_Validation!$A:$D,1,0)</f>
        <v>#N/A</v>
      </c>
      <c r="AP260" s="487" t="e">
        <f>+VLOOKUP($AJ260,Data_Validation!$A:$D,3,0)</f>
        <v>#N/A</v>
      </c>
      <c r="AQ260" s="487" t="e">
        <f>+VLOOKUP($AJ260,Data_Validation!$A:$D,4,0)</f>
        <v>#N/A</v>
      </c>
      <c r="AR260" s="487" t="s">
        <v>299</v>
      </c>
      <c r="AS260" s="487" t="e">
        <f>+VLOOKUP($AJ260,Data_Validation!$A:$E,5,0)</f>
        <v>#N/A</v>
      </c>
      <c r="AT260" s="904">
        <f t="shared" ref="AT260:AU323" si="18">C260</f>
        <v>0</v>
      </c>
      <c r="AU260" s="488">
        <f t="shared" si="18"/>
        <v>0</v>
      </c>
      <c r="AV260" s="899">
        <f>IFERROR(INDEX(V260:AG260,1,MATCH(Parametres!$B$3,V$1:AG$1,0)-1)*IF(OR(C260="L",C260="S",C260="I"),-1,1),"")</f>
        <v>0</v>
      </c>
      <c r="AW260" s="899">
        <f t="shared" ref="AW260:AW323" si="19">AX260-AV260</f>
        <v>0</v>
      </c>
      <c r="AX260" s="899">
        <f>INDEX(V260:AG260,1,MATCH(Parametres!$B$3,V$1:AG$1,0))*IF(OR(C260="L",C260="S",C260="I"),-1,1)</f>
        <v>0</v>
      </c>
      <c r="AY260" s="487" t="s">
        <v>337</v>
      </c>
      <c r="AZ260" s="487" t="e">
        <f>+VLOOKUP($AJ260,Data_Validation!$A:$E,5,0)</f>
        <v>#N/A</v>
      </c>
    </row>
    <row r="261" spans="36:52" ht="15" customHeight="1">
      <c r="AJ261" s="899">
        <f t="shared" si="16"/>
        <v>0</v>
      </c>
      <c r="AK261" s="899">
        <f t="shared" si="16"/>
        <v>0</v>
      </c>
      <c r="AL261" s="905">
        <f>IFERROR(INDEX(G261:R261,1,MATCH(Parametres!$B$3,G$1:R$1,0)-1)*IF(OR(F261="L",F261="S",F261="I"),-1,1),"")</f>
        <v>0</v>
      </c>
      <c r="AM261" s="905">
        <f t="shared" si="17"/>
        <v>0</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f t="shared" si="18"/>
        <v>0</v>
      </c>
      <c r="AU261" s="488">
        <f t="shared" si="18"/>
        <v>0</v>
      </c>
      <c r="AV261" s="899">
        <f>IFERROR(INDEX(V261:AG261,1,MATCH(Parametres!$B$3,V$1:AG$1,0)-1)*IF(OR(C261="L",C261="S",C261="I"),-1,1),"")</f>
        <v>0</v>
      </c>
      <c r="AW261" s="899">
        <f t="shared" si="19"/>
        <v>0</v>
      </c>
      <c r="AX261" s="899">
        <f>INDEX(V261:AG261,1,MATCH(Parametres!$B$3,V$1:AG$1,0))*IF(OR(C261="L",C261="S",C261="I"),-1,1)</f>
        <v>0</v>
      </c>
      <c r="AY261" s="487" t="s">
        <v>337</v>
      </c>
      <c r="AZ261" s="487" t="e">
        <f>+VLOOKUP($AJ261,Data_Validation!$A:$E,5,0)</f>
        <v>#N/A</v>
      </c>
    </row>
    <row r="262" spans="36:52" ht="15.75" customHeight="1">
      <c r="AJ262" s="899">
        <f t="shared" si="16"/>
        <v>0</v>
      </c>
      <c r="AK262" s="899">
        <f t="shared" si="16"/>
        <v>0</v>
      </c>
      <c r="AL262" s="905">
        <f>IFERROR(INDEX(G262:R262,1,MATCH(Parametres!$B$3,G$1:R$1,0)-1)*IF(OR(F262="L",F262="S",F262="I"),-1,1),"")</f>
        <v>0</v>
      </c>
      <c r="AM262" s="905">
        <f t="shared" si="17"/>
        <v>0</v>
      </c>
      <c r="AN262" s="905">
        <f>INDEX(G262:R262,1,MATCH(Parametres!$B$3,G$1:R$1,0))*IF(OR(F262="L",F262="S",F262="I"),-1,1)</f>
        <v>0</v>
      </c>
      <c r="AO262" s="487" t="e">
        <f>+VLOOKUP($AJ262,Data_Validation!$A:$D,1,0)</f>
        <v>#N/A</v>
      </c>
      <c r="AP262" s="487" t="e">
        <f>+VLOOKUP($AJ262,Data_Validation!$A:$D,3,0)</f>
        <v>#N/A</v>
      </c>
      <c r="AQ262" s="487" t="e">
        <f>+VLOOKUP($AJ262,Data_Validation!$A:$D,4,0)</f>
        <v>#N/A</v>
      </c>
      <c r="AR262" s="487" t="s">
        <v>299</v>
      </c>
      <c r="AS262" s="487" t="e">
        <f>+VLOOKUP($AJ262,Data_Validation!$A:$E,5,0)</f>
        <v>#N/A</v>
      </c>
      <c r="AT262" s="904">
        <f t="shared" si="18"/>
        <v>0</v>
      </c>
      <c r="AU262" s="488">
        <f t="shared" si="18"/>
        <v>0</v>
      </c>
      <c r="AV262" s="899">
        <f>IFERROR(INDEX(V262:AG262,1,MATCH(Parametres!$B$3,V$1:AG$1,0)-1)*IF(OR(C262="L",C262="S",C262="I"),-1,1),"")</f>
        <v>0</v>
      </c>
      <c r="AW262" s="899">
        <f t="shared" si="19"/>
        <v>0</v>
      </c>
      <c r="AX262" s="899">
        <f>INDEX(V262:AG262,1,MATCH(Parametres!$B$3,V$1:AG$1,0))*IF(OR(C262="L",C262="S",C262="I"),-1,1)</f>
        <v>0</v>
      </c>
      <c r="AY262" s="487" t="s">
        <v>337</v>
      </c>
      <c r="AZ262" s="487" t="e">
        <f>+VLOOKUP($AJ262,Data_Validation!$A:$E,5,0)</f>
        <v>#N/A</v>
      </c>
    </row>
    <row r="263" spans="36:52" ht="15" customHeight="1">
      <c r="AJ263" s="899">
        <f t="shared" si="16"/>
        <v>0</v>
      </c>
      <c r="AK263" s="899">
        <f t="shared" si="16"/>
        <v>0</v>
      </c>
      <c r="AL263" s="905">
        <f>IFERROR(INDEX(G263:R263,1,MATCH(Parametres!$B$3,G$1:R$1,0)-1)*IF(OR(F263="L",F263="S",F263="I"),-1,1),"")</f>
        <v>0</v>
      </c>
      <c r="AM263" s="905">
        <f t="shared" si="17"/>
        <v>0</v>
      </c>
      <c r="AN263" s="905">
        <f>INDEX(G263:R263,1,MATCH(Parametres!$B$3,G$1:R$1,0))*IF(OR(F263="L",F263="S",F263="I"),-1,1)</f>
        <v>0</v>
      </c>
      <c r="AO263" s="487" t="e">
        <f>+VLOOKUP($AJ263,Data_Validation!$A:$D,1,0)</f>
        <v>#N/A</v>
      </c>
      <c r="AP263" s="487" t="e">
        <f>+VLOOKUP($AJ263,Data_Validation!$A:$D,3,0)</f>
        <v>#N/A</v>
      </c>
      <c r="AQ263" s="487" t="e">
        <f>+VLOOKUP($AJ263,Data_Validation!$A:$D,4,0)</f>
        <v>#N/A</v>
      </c>
      <c r="AR263" s="487" t="s">
        <v>299</v>
      </c>
      <c r="AS263" s="487" t="e">
        <f>+VLOOKUP($AJ263,Data_Validation!$A:$E,5,0)</f>
        <v>#N/A</v>
      </c>
      <c r="AT263" s="904">
        <f t="shared" si="18"/>
        <v>0</v>
      </c>
      <c r="AU263" s="488">
        <f t="shared" si="18"/>
        <v>0</v>
      </c>
      <c r="AV263" s="899">
        <f>IFERROR(INDEX(V263:AG263,1,MATCH(Parametres!$B$3,V$1:AG$1,0)-1)*IF(OR(C263="L",C263="S",C263="I"),-1,1),"")</f>
        <v>0</v>
      </c>
      <c r="AW263" s="899">
        <f t="shared" si="19"/>
        <v>0</v>
      </c>
      <c r="AX263" s="899">
        <f>INDEX(V263:AG263,1,MATCH(Parametres!$B$3,V$1:AG$1,0))*IF(OR(C263="L",C263="S",C263="I"),-1,1)</f>
        <v>0</v>
      </c>
      <c r="AY263" s="487" t="s">
        <v>337</v>
      </c>
      <c r="AZ263" s="487" t="e">
        <f>+VLOOKUP($AJ263,Data_Validation!$A:$E,5,0)</f>
        <v>#N/A</v>
      </c>
    </row>
    <row r="264" spans="36:52" ht="15" customHeight="1">
      <c r="AJ264" s="899">
        <f t="shared" si="16"/>
        <v>0</v>
      </c>
      <c r="AK264" s="899">
        <f t="shared" si="16"/>
        <v>0</v>
      </c>
      <c r="AL264" s="905">
        <f>IFERROR(INDEX(G264:R264,1,MATCH(Parametres!$B$3,G$1:R$1,0)-1)*IF(OR(F264="L",F264="S",F264="I"),-1,1),"")</f>
        <v>0</v>
      </c>
      <c r="AM264" s="905">
        <f t="shared" si="17"/>
        <v>0</v>
      </c>
      <c r="AN264" s="905">
        <f>INDEX(G264:R264,1,MATCH(Parametres!$B$3,G$1:R$1,0))*IF(OR(F264="L",F264="S",F264="I"),-1,1)</f>
        <v>0</v>
      </c>
      <c r="AO264" s="487" t="e">
        <f>+VLOOKUP($AJ264,Data_Validation!$A:$D,1,0)</f>
        <v>#N/A</v>
      </c>
      <c r="AP264" s="487" t="e">
        <f>+VLOOKUP($AJ264,Data_Validation!$A:$D,3,0)</f>
        <v>#N/A</v>
      </c>
      <c r="AQ264" s="487" t="e">
        <f>+VLOOKUP($AJ264,Data_Validation!$A:$D,4,0)</f>
        <v>#N/A</v>
      </c>
      <c r="AR264" s="487" t="s">
        <v>299</v>
      </c>
      <c r="AS264" s="487" t="e">
        <f>+VLOOKUP($AJ264,Data_Validation!$A:$E,5,0)</f>
        <v>#N/A</v>
      </c>
      <c r="AT264" s="904">
        <f t="shared" si="18"/>
        <v>0</v>
      </c>
      <c r="AU264" s="488">
        <f t="shared" si="18"/>
        <v>0</v>
      </c>
      <c r="AV264" s="899">
        <f>IFERROR(INDEX(V264:AG264,1,MATCH(Parametres!$B$3,V$1:AG$1,0)-1)*IF(OR(C264="L",C264="S",C264="I"),-1,1),"")</f>
        <v>0</v>
      </c>
      <c r="AW264" s="899">
        <f t="shared" si="19"/>
        <v>0</v>
      </c>
      <c r="AX264" s="899">
        <f>INDEX(V264:AG264,1,MATCH(Parametres!$B$3,V$1:AG$1,0))*IF(OR(C264="L",C264="S",C264="I"),-1,1)</f>
        <v>0</v>
      </c>
      <c r="AY264" s="487" t="s">
        <v>337</v>
      </c>
      <c r="AZ264" s="487" t="e">
        <f>+VLOOKUP($AJ264,Data_Validation!$A:$E,5,0)</f>
        <v>#N/A</v>
      </c>
    </row>
    <row r="265" spans="36:52" ht="15" customHeight="1">
      <c r="AJ265" s="899">
        <f t="shared" si="16"/>
        <v>0</v>
      </c>
      <c r="AK265" s="899">
        <f t="shared" si="16"/>
        <v>0</v>
      </c>
      <c r="AL265" s="905">
        <f>IFERROR(INDEX(G265:R265,1,MATCH(Parametres!$B$3,G$1:R$1,0)-1)*IF(OR(F265="L",F265="S",F265="I"),-1,1),"")</f>
        <v>0</v>
      </c>
      <c r="AM265" s="905">
        <f t="shared" si="17"/>
        <v>0</v>
      </c>
      <c r="AN265" s="905">
        <f>INDEX(G265:R265,1,MATCH(Parametres!$B$3,G$1:R$1,0))*IF(OR(F265="L",F265="S",F265="I"),-1,1)</f>
        <v>0</v>
      </c>
      <c r="AO265" s="487" t="e">
        <f>+VLOOKUP($AJ265,Data_Validation!$A:$D,1,0)</f>
        <v>#N/A</v>
      </c>
      <c r="AP265" s="487" t="e">
        <f>+VLOOKUP($AJ265,Data_Validation!$A:$D,3,0)</f>
        <v>#N/A</v>
      </c>
      <c r="AQ265" s="487" t="e">
        <f>+VLOOKUP($AJ265,Data_Validation!$A:$D,4,0)</f>
        <v>#N/A</v>
      </c>
      <c r="AR265" s="487" t="s">
        <v>299</v>
      </c>
      <c r="AS265" s="487" t="e">
        <f>+VLOOKUP($AJ265,Data_Validation!$A:$E,5,0)</f>
        <v>#N/A</v>
      </c>
      <c r="AT265" s="904">
        <f t="shared" si="18"/>
        <v>0</v>
      </c>
      <c r="AU265" s="488">
        <f t="shared" si="18"/>
        <v>0</v>
      </c>
      <c r="AV265" s="899">
        <f>IFERROR(INDEX(V265:AG265,1,MATCH(Parametres!$B$3,V$1:AG$1,0)-1)*IF(OR(C265="L",C265="S",C265="I"),-1,1),"")</f>
        <v>0</v>
      </c>
      <c r="AW265" s="899">
        <f t="shared" si="19"/>
        <v>0</v>
      </c>
      <c r="AX265" s="899">
        <f>INDEX(V265:AG265,1,MATCH(Parametres!$B$3,V$1:AG$1,0))*IF(OR(C265="L",C265="S",C265="I"),-1,1)</f>
        <v>0</v>
      </c>
      <c r="AY265" s="487" t="s">
        <v>337</v>
      </c>
      <c r="AZ265" s="487" t="e">
        <f>+VLOOKUP($AJ265,Data_Validation!$A:$E,5,0)</f>
        <v>#N/A</v>
      </c>
    </row>
    <row r="266" spans="36:52" ht="15" customHeight="1">
      <c r="AJ266" s="899">
        <f t="shared" si="16"/>
        <v>0</v>
      </c>
      <c r="AK266" s="899">
        <f t="shared" si="16"/>
        <v>0</v>
      </c>
      <c r="AL266" s="905">
        <f>IFERROR(INDEX(G266:R266,1,MATCH(Parametres!$B$3,G$1:R$1,0)-1)*IF(OR(F266="L",F266="S",F266="I"),-1,1),"")</f>
        <v>0</v>
      </c>
      <c r="AM266" s="905">
        <f t="shared" si="17"/>
        <v>0</v>
      </c>
      <c r="AN266" s="905">
        <f>INDEX(G266:R266,1,MATCH(Parametres!$B$3,G$1:R$1,0))*IF(OR(F266="L",F266="S",F266="I"),-1,1)</f>
        <v>0</v>
      </c>
      <c r="AO266" s="487" t="e">
        <f>+VLOOKUP($AJ266,Data_Validation!$A:$D,1,0)</f>
        <v>#N/A</v>
      </c>
      <c r="AP266" s="487" t="e">
        <f>+VLOOKUP($AJ266,Data_Validation!$A:$D,3,0)</f>
        <v>#N/A</v>
      </c>
      <c r="AQ266" s="487" t="e">
        <f>+VLOOKUP($AJ266,Data_Validation!$A:$D,4,0)</f>
        <v>#N/A</v>
      </c>
      <c r="AR266" s="487" t="s">
        <v>299</v>
      </c>
      <c r="AS266" s="487" t="e">
        <f>+VLOOKUP($AJ266,Data_Validation!$A:$E,5,0)</f>
        <v>#N/A</v>
      </c>
      <c r="AT266" s="904">
        <f t="shared" si="18"/>
        <v>0</v>
      </c>
      <c r="AU266" s="488">
        <f t="shared" si="18"/>
        <v>0</v>
      </c>
      <c r="AV266" s="899">
        <f>IFERROR(INDEX(V266:AG266,1,MATCH(Parametres!$B$3,V$1:AG$1,0)-1)*IF(OR(C266="L",C266="S",C266="I"),-1,1),"")</f>
        <v>0</v>
      </c>
      <c r="AW266" s="899">
        <f t="shared" si="19"/>
        <v>0</v>
      </c>
      <c r="AX266" s="899">
        <f>INDEX(V266:AG266,1,MATCH(Parametres!$B$3,V$1:AG$1,0))*IF(OR(C266="L",C266="S",C266="I"),-1,1)</f>
        <v>0</v>
      </c>
      <c r="AY266" s="487" t="s">
        <v>337</v>
      </c>
      <c r="AZ266" s="487" t="e">
        <f>+VLOOKUP($AJ266,Data_Validation!$A:$E,5,0)</f>
        <v>#N/A</v>
      </c>
    </row>
    <row r="267" spans="36:52" ht="15" customHeight="1">
      <c r="AJ267" s="899">
        <f t="shared" si="16"/>
        <v>0</v>
      </c>
      <c r="AK267" s="899">
        <f t="shared" si="16"/>
        <v>0</v>
      </c>
      <c r="AL267" s="905">
        <f>IFERROR(INDEX(G267:R267,1,MATCH(Parametres!$B$3,G$1:R$1,0)-1)*IF(OR(F267="L",F267="S",F267="I"),-1,1),"")</f>
        <v>0</v>
      </c>
      <c r="AM267" s="905">
        <f t="shared" si="17"/>
        <v>0</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f t="shared" si="18"/>
        <v>0</v>
      </c>
      <c r="AU267" s="488">
        <f t="shared" si="18"/>
        <v>0</v>
      </c>
      <c r="AV267" s="899">
        <f>IFERROR(INDEX(V267:AG267,1,MATCH(Parametres!$B$3,V$1:AG$1,0)-1)*IF(OR(C267="L",C267="S",C267="I"),-1,1),"")</f>
        <v>0</v>
      </c>
      <c r="AW267" s="899">
        <f t="shared" si="19"/>
        <v>0</v>
      </c>
      <c r="AX267" s="899">
        <f>INDEX(V267:AG267,1,MATCH(Parametres!$B$3,V$1:AG$1,0))*IF(OR(C267="L",C267="S",C267="I"),-1,1)</f>
        <v>0</v>
      </c>
      <c r="AY267" s="487" t="s">
        <v>337</v>
      </c>
      <c r="AZ267" s="487" t="e">
        <f>+VLOOKUP($AJ267,Data_Validation!$A:$E,5,0)</f>
        <v>#N/A</v>
      </c>
    </row>
    <row r="268" spans="36:52" ht="15" customHeight="1">
      <c r="AJ268" s="899">
        <f t="shared" si="16"/>
        <v>0</v>
      </c>
      <c r="AK268" s="899">
        <f t="shared" si="16"/>
        <v>0</v>
      </c>
      <c r="AL268" s="905">
        <f>IFERROR(INDEX(G268:R268,1,MATCH(Parametres!$B$3,G$1:R$1,0)-1)*IF(OR(F268="L",F268="S",F268="I"),-1,1),"")</f>
        <v>0</v>
      </c>
      <c r="AM268" s="905">
        <f t="shared" si="17"/>
        <v>0</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f t="shared" si="18"/>
        <v>0</v>
      </c>
      <c r="AU268" s="488">
        <f t="shared" si="18"/>
        <v>0</v>
      </c>
      <c r="AV268" s="899">
        <f>IFERROR(INDEX(V268:AG268,1,MATCH(Parametres!$B$3,V$1:AG$1,0)-1)*IF(OR(C268="L",C268="S",C268="I"),-1,1),"")</f>
        <v>0</v>
      </c>
      <c r="AW268" s="899">
        <f t="shared" si="19"/>
        <v>0</v>
      </c>
      <c r="AX268" s="899">
        <f>INDEX(V268:AG268,1,MATCH(Parametres!$B$3,V$1:AG$1,0))*IF(OR(C268="L",C268="S",C268="I"),-1,1)</f>
        <v>0</v>
      </c>
      <c r="AY268" s="487" t="s">
        <v>337</v>
      </c>
      <c r="AZ268" s="487" t="e">
        <f>+VLOOKUP($AJ268,Data_Validation!$A:$E,5,0)</f>
        <v>#N/A</v>
      </c>
    </row>
    <row r="269" spans="36:52" ht="15" customHeight="1">
      <c r="AJ269" s="899">
        <f t="shared" si="16"/>
        <v>0</v>
      </c>
      <c r="AK269" s="899">
        <f t="shared" si="16"/>
        <v>0</v>
      </c>
      <c r="AL269" s="905">
        <f>IFERROR(INDEX(G269:R269,1,MATCH(Parametres!$B$3,G$1:R$1,0)-1)*IF(OR(F269="L",F269="S",F269="I"),-1,1),"")</f>
        <v>0</v>
      </c>
      <c r="AM269" s="905">
        <f t="shared" si="17"/>
        <v>0</v>
      </c>
      <c r="AN269" s="905">
        <f>INDEX(G269:R269,1,MATCH(Parametres!$B$3,G$1:R$1,0))*IF(OR(F269="L",F269="S",F269="I"),-1,1)</f>
        <v>0</v>
      </c>
      <c r="AO269" s="487" t="e">
        <f>+VLOOKUP($AJ269,Data_Validation!$A:$D,1,0)</f>
        <v>#N/A</v>
      </c>
      <c r="AP269" s="487" t="e">
        <f>+VLOOKUP($AJ269,Data_Validation!$A:$D,3,0)</f>
        <v>#N/A</v>
      </c>
      <c r="AQ269" s="487" t="e">
        <f>+VLOOKUP($AJ269,Data_Validation!$A:$D,4,0)</f>
        <v>#N/A</v>
      </c>
      <c r="AR269" s="487" t="s">
        <v>299</v>
      </c>
      <c r="AS269" s="487" t="e">
        <f>+VLOOKUP($AJ269,Data_Validation!$A:$E,5,0)</f>
        <v>#N/A</v>
      </c>
      <c r="AT269" s="904">
        <f t="shared" si="18"/>
        <v>0</v>
      </c>
      <c r="AU269" s="488">
        <f t="shared" si="18"/>
        <v>0</v>
      </c>
      <c r="AV269" s="899">
        <f>IFERROR(INDEX(V269:AG269,1,MATCH(Parametres!$B$3,V$1:AG$1,0)-1)*IF(OR(C269="L",C269="S",C269="I"),-1,1),"")</f>
        <v>0</v>
      </c>
      <c r="AW269" s="899">
        <f t="shared" si="19"/>
        <v>0</v>
      </c>
      <c r="AX269" s="899">
        <f>INDEX(V269:AG269,1,MATCH(Parametres!$B$3,V$1:AG$1,0))*IF(OR(C269="L",C269="S",C269="I"),-1,1)</f>
        <v>0</v>
      </c>
      <c r="AY269" s="487" t="s">
        <v>337</v>
      </c>
      <c r="AZ269" s="487" t="e">
        <f>+VLOOKUP($AJ269,Data_Validation!$A:$E,5,0)</f>
        <v>#N/A</v>
      </c>
    </row>
    <row r="270" spans="36:52" ht="15" customHeight="1">
      <c r="AJ270" s="899">
        <f t="shared" si="16"/>
        <v>0</v>
      </c>
      <c r="AK270" s="899">
        <f t="shared" si="16"/>
        <v>0</v>
      </c>
      <c r="AL270" s="905">
        <f>IFERROR(INDEX(G270:R270,1,MATCH(Parametres!$B$3,G$1:R$1,0)-1)*IF(OR(F270="L",F270="S",F270="I"),-1,1),"")</f>
        <v>0</v>
      </c>
      <c r="AM270" s="905">
        <f t="shared" si="17"/>
        <v>0</v>
      </c>
      <c r="AN270" s="905">
        <f>INDEX(G270:R270,1,MATCH(Parametres!$B$3,G$1:R$1,0))*IF(OR(F270="L",F270="S",F270="I"),-1,1)</f>
        <v>0</v>
      </c>
      <c r="AO270" s="487" t="e">
        <f>+VLOOKUP($AJ270,Data_Validation!$A:$D,1,0)</f>
        <v>#N/A</v>
      </c>
      <c r="AP270" s="487" t="e">
        <f>+VLOOKUP($AJ270,Data_Validation!$A:$D,3,0)</f>
        <v>#N/A</v>
      </c>
      <c r="AQ270" s="487" t="e">
        <f>+VLOOKUP($AJ270,Data_Validation!$A:$D,4,0)</f>
        <v>#N/A</v>
      </c>
      <c r="AR270" s="487" t="s">
        <v>299</v>
      </c>
      <c r="AS270" s="487" t="e">
        <f>+VLOOKUP($AJ270,Data_Validation!$A:$E,5,0)</f>
        <v>#N/A</v>
      </c>
      <c r="AT270" s="904">
        <f t="shared" si="18"/>
        <v>0</v>
      </c>
      <c r="AU270" s="488">
        <f t="shared" si="18"/>
        <v>0</v>
      </c>
      <c r="AV270" s="899">
        <f>IFERROR(INDEX(V270:AG270,1,MATCH(Parametres!$B$3,V$1:AG$1,0)-1)*IF(OR(C270="L",C270="S",C270="I"),-1,1),"")</f>
        <v>0</v>
      </c>
      <c r="AW270" s="899">
        <f t="shared" si="19"/>
        <v>0</v>
      </c>
      <c r="AX270" s="899">
        <f>INDEX(V270:AG270,1,MATCH(Parametres!$B$3,V$1:AG$1,0))*IF(OR(C270="L",C270="S",C270="I"),-1,1)</f>
        <v>0</v>
      </c>
      <c r="AY270" s="487" t="s">
        <v>337</v>
      </c>
      <c r="AZ270" s="487" t="e">
        <f>+VLOOKUP($AJ270,Data_Validation!$A:$E,5,0)</f>
        <v>#N/A</v>
      </c>
    </row>
    <row r="271" spans="36:52" ht="15" customHeight="1">
      <c r="AJ271" s="899">
        <f t="shared" si="16"/>
        <v>0</v>
      </c>
      <c r="AK271" s="899">
        <f t="shared" si="16"/>
        <v>0</v>
      </c>
      <c r="AL271" s="905">
        <f>IFERROR(INDEX(G271:R271,1,MATCH(Parametres!$B$3,G$1:R$1,0)-1)*IF(OR(F271="L",F271="S",F271="I"),-1,1),"")</f>
        <v>0</v>
      </c>
      <c r="AM271" s="905">
        <f t="shared" si="17"/>
        <v>0</v>
      </c>
      <c r="AN271" s="905">
        <f>INDEX(G271:R271,1,MATCH(Parametres!$B$3,G$1:R$1,0))*IF(OR(F271="L",F271="S",F271="I"),-1,1)</f>
        <v>0</v>
      </c>
      <c r="AO271" s="487" t="e">
        <f>+VLOOKUP($AJ271,Data_Validation!$A:$D,1,0)</f>
        <v>#N/A</v>
      </c>
      <c r="AP271" s="487" t="e">
        <f>+VLOOKUP($AJ271,Data_Validation!$A:$D,3,0)</f>
        <v>#N/A</v>
      </c>
      <c r="AQ271" s="487" t="e">
        <f>+VLOOKUP($AJ271,Data_Validation!$A:$D,4,0)</f>
        <v>#N/A</v>
      </c>
      <c r="AR271" s="487" t="s">
        <v>299</v>
      </c>
      <c r="AS271" s="487" t="e">
        <f>+VLOOKUP($AJ271,Data_Validation!$A:$E,5,0)</f>
        <v>#N/A</v>
      </c>
      <c r="AT271" s="904">
        <f t="shared" si="18"/>
        <v>0</v>
      </c>
      <c r="AU271" s="488">
        <f t="shared" si="18"/>
        <v>0</v>
      </c>
      <c r="AV271" s="899">
        <f>IFERROR(INDEX(V271:AG271,1,MATCH(Parametres!$B$3,V$1:AG$1,0)-1)*IF(OR(C271="L",C271="S",C271="I"),-1,1),"")</f>
        <v>0</v>
      </c>
      <c r="AW271" s="899">
        <f t="shared" si="19"/>
        <v>0</v>
      </c>
      <c r="AX271" s="899">
        <f>INDEX(V271:AG271,1,MATCH(Parametres!$B$3,V$1:AG$1,0))*IF(OR(C271="L",C271="S",C271="I"),-1,1)</f>
        <v>0</v>
      </c>
      <c r="AY271" s="487" t="s">
        <v>337</v>
      </c>
      <c r="AZ271" s="487" t="e">
        <f>+VLOOKUP($AJ271,Data_Validation!$A:$E,5,0)</f>
        <v>#N/A</v>
      </c>
    </row>
    <row r="272" spans="36:52" ht="15.75" customHeight="1">
      <c r="AJ272" s="899">
        <f t="shared" si="16"/>
        <v>0</v>
      </c>
      <c r="AK272" s="899">
        <f t="shared" si="16"/>
        <v>0</v>
      </c>
      <c r="AL272" s="905">
        <f>IFERROR(INDEX(G272:R272,1,MATCH(Parametres!$B$3,G$1:R$1,0)-1)*IF(OR(F272="L",F272="S",F272="I"),-1,1),"")</f>
        <v>0</v>
      </c>
      <c r="AM272" s="905">
        <f t="shared" si="17"/>
        <v>0</v>
      </c>
      <c r="AN272" s="905">
        <f>INDEX(G272:R272,1,MATCH(Parametres!$B$3,G$1:R$1,0))*IF(OR(F272="L",F272="S",F272="I"),-1,1)</f>
        <v>0</v>
      </c>
      <c r="AO272" s="487" t="e">
        <f>+VLOOKUP($AJ272,Data_Validation!$A:$D,1,0)</f>
        <v>#N/A</v>
      </c>
      <c r="AP272" s="487" t="e">
        <f>+VLOOKUP($AJ272,Data_Validation!$A:$D,3,0)</f>
        <v>#N/A</v>
      </c>
      <c r="AQ272" s="487" t="e">
        <f>+VLOOKUP($AJ272,Data_Validation!$A:$D,4,0)</f>
        <v>#N/A</v>
      </c>
      <c r="AR272" s="487" t="s">
        <v>299</v>
      </c>
      <c r="AS272" s="487" t="e">
        <f>+VLOOKUP($AJ272,Data_Validation!$A:$E,5,0)</f>
        <v>#N/A</v>
      </c>
      <c r="AT272" s="904">
        <f t="shared" si="18"/>
        <v>0</v>
      </c>
      <c r="AU272" s="488">
        <f t="shared" si="18"/>
        <v>0</v>
      </c>
      <c r="AV272" s="899">
        <f>IFERROR(INDEX(V272:AG272,1,MATCH(Parametres!$B$3,V$1:AG$1,0)-1)*IF(OR(C272="L",C272="S",C272="I"),-1,1),"")</f>
        <v>0</v>
      </c>
      <c r="AW272" s="899">
        <f t="shared" si="19"/>
        <v>0</v>
      </c>
      <c r="AX272" s="899">
        <f>INDEX(V272:AG272,1,MATCH(Parametres!$B$3,V$1:AG$1,0))*IF(OR(C272="L",C272="S",C272="I"),-1,1)</f>
        <v>0</v>
      </c>
      <c r="AY272" s="487" t="s">
        <v>337</v>
      </c>
      <c r="AZ272" s="487" t="e">
        <f>+VLOOKUP($AJ272,Data_Validation!$A:$E,5,0)</f>
        <v>#N/A</v>
      </c>
    </row>
    <row r="273" spans="36:52" ht="15" customHeight="1">
      <c r="AJ273" s="899">
        <f t="shared" si="16"/>
        <v>0</v>
      </c>
      <c r="AK273" s="899">
        <f t="shared" si="16"/>
        <v>0</v>
      </c>
      <c r="AL273" s="905">
        <f>IFERROR(INDEX(G273:R273,1,MATCH(Parametres!$B$3,G$1:R$1,0)-1)*IF(OR(F273="L",F273="S",F273="I"),-1,1),"")</f>
        <v>0</v>
      </c>
      <c r="AM273" s="905">
        <f t="shared" si="17"/>
        <v>0</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f t="shared" si="18"/>
        <v>0</v>
      </c>
      <c r="AU273" s="488">
        <f t="shared" si="18"/>
        <v>0</v>
      </c>
      <c r="AV273" s="899">
        <f>IFERROR(INDEX(V273:AG273,1,MATCH(Parametres!$B$3,V$1:AG$1,0)-1)*IF(OR(C273="L",C273="S",C273="I"),-1,1),"")</f>
        <v>0</v>
      </c>
      <c r="AW273" s="899">
        <f t="shared" si="19"/>
        <v>0</v>
      </c>
      <c r="AX273" s="899">
        <f>INDEX(V273:AG273,1,MATCH(Parametres!$B$3,V$1:AG$1,0))*IF(OR(C273="L",C273="S",C273="I"),-1,1)</f>
        <v>0</v>
      </c>
      <c r="AY273" s="487" t="s">
        <v>337</v>
      </c>
      <c r="AZ273" s="487" t="e">
        <f>+VLOOKUP($AJ273,Data_Validation!$A:$E,5,0)</f>
        <v>#N/A</v>
      </c>
    </row>
    <row r="274" spans="36:52" ht="15" customHeight="1">
      <c r="AJ274" s="899">
        <f t="shared" si="16"/>
        <v>0</v>
      </c>
      <c r="AK274" s="899">
        <f t="shared" si="16"/>
        <v>0</v>
      </c>
      <c r="AL274" s="905">
        <f>IFERROR(INDEX(G274:R274,1,MATCH(Parametres!$B$3,G$1:R$1,0)-1)*IF(OR(F274="L",F274="S",F274="I"),-1,1),"")</f>
        <v>0</v>
      </c>
      <c r="AM274" s="905">
        <f t="shared" si="17"/>
        <v>0</v>
      </c>
      <c r="AN274" s="905">
        <f>INDEX(G274:R274,1,MATCH(Parametres!$B$3,G$1:R$1,0))*IF(OR(F274="L",F274="S",F274="I"),-1,1)</f>
        <v>0</v>
      </c>
      <c r="AO274" s="487" t="e">
        <f>+VLOOKUP($AJ274,Data_Validation!$A:$D,1,0)</f>
        <v>#N/A</v>
      </c>
      <c r="AP274" s="487" t="e">
        <f>+VLOOKUP($AJ274,Data_Validation!$A:$D,3,0)</f>
        <v>#N/A</v>
      </c>
      <c r="AQ274" s="487" t="e">
        <f>+VLOOKUP($AJ274,Data_Validation!$A:$D,4,0)</f>
        <v>#N/A</v>
      </c>
      <c r="AR274" s="487" t="s">
        <v>299</v>
      </c>
      <c r="AS274" s="487" t="e">
        <f>+VLOOKUP($AJ274,Data_Validation!$A:$E,5,0)</f>
        <v>#N/A</v>
      </c>
      <c r="AT274" s="904">
        <f t="shared" si="18"/>
        <v>0</v>
      </c>
      <c r="AU274" s="488">
        <f t="shared" si="18"/>
        <v>0</v>
      </c>
      <c r="AV274" s="899">
        <f>IFERROR(INDEX(V274:AG274,1,MATCH(Parametres!$B$3,V$1:AG$1,0)-1)*IF(OR(C274="L",C274="S",C274="I"),-1,1),"")</f>
        <v>0</v>
      </c>
      <c r="AW274" s="899">
        <f t="shared" si="19"/>
        <v>0</v>
      </c>
      <c r="AX274" s="899">
        <f>INDEX(V274:AG274,1,MATCH(Parametres!$B$3,V$1:AG$1,0))*IF(OR(C274="L",C274="S",C274="I"),-1,1)</f>
        <v>0</v>
      </c>
      <c r="AY274" s="487" t="s">
        <v>337</v>
      </c>
      <c r="AZ274" s="487" t="e">
        <f>+VLOOKUP($AJ274,Data_Validation!$A:$E,5,0)</f>
        <v>#N/A</v>
      </c>
    </row>
    <row r="275" spans="36:52" ht="15" customHeight="1">
      <c r="AJ275" s="899">
        <f t="shared" si="16"/>
        <v>0</v>
      </c>
      <c r="AK275" s="899">
        <f t="shared" si="16"/>
        <v>0</v>
      </c>
      <c r="AL275" s="905">
        <f>IFERROR(INDEX(G275:R275,1,MATCH(Parametres!$B$3,G$1:R$1,0)-1)*IF(OR(F275="L",F275="S",F275="I"),-1,1),"")</f>
        <v>0</v>
      </c>
      <c r="AM275" s="905">
        <f t="shared" si="17"/>
        <v>0</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f t="shared" si="18"/>
        <v>0</v>
      </c>
      <c r="AU275" s="488">
        <f t="shared" si="18"/>
        <v>0</v>
      </c>
      <c r="AV275" s="899">
        <f>IFERROR(INDEX(V275:AG275,1,MATCH(Parametres!$B$3,V$1:AG$1,0)-1)*IF(OR(C275="L",C275="S",C275="I"),-1,1),"")</f>
        <v>0</v>
      </c>
      <c r="AW275" s="899">
        <f t="shared" si="19"/>
        <v>0</v>
      </c>
      <c r="AX275" s="899">
        <f>INDEX(V275:AG275,1,MATCH(Parametres!$B$3,V$1:AG$1,0))*IF(OR(C275="L",C275="S",C275="I"),-1,1)</f>
        <v>0</v>
      </c>
      <c r="AY275" s="487" t="s">
        <v>337</v>
      </c>
      <c r="AZ275" s="487" t="e">
        <f>+VLOOKUP($AJ275,Data_Validation!$A:$E,5,0)</f>
        <v>#N/A</v>
      </c>
    </row>
    <row r="276" spans="36:52" ht="15" customHeight="1">
      <c r="AJ276" s="899">
        <f t="shared" si="16"/>
        <v>0</v>
      </c>
      <c r="AK276" s="899">
        <f t="shared" si="16"/>
        <v>0</v>
      </c>
      <c r="AL276" s="905">
        <f>IFERROR(INDEX(G276:R276,1,MATCH(Parametres!$B$3,G$1:R$1,0)-1)*IF(OR(F276="L",F276="S",F276="I"),-1,1),"")</f>
        <v>0</v>
      </c>
      <c r="AM276" s="905">
        <f t="shared" si="17"/>
        <v>0</v>
      </c>
      <c r="AN276" s="905">
        <f>INDEX(G276:R276,1,MATCH(Parametres!$B$3,G$1:R$1,0))*IF(OR(F276="L",F276="S",F276="I"),-1,1)</f>
        <v>0</v>
      </c>
      <c r="AO276" s="487" t="e">
        <f>+VLOOKUP($AJ276,Data_Validation!$A:$D,1,0)</f>
        <v>#N/A</v>
      </c>
      <c r="AP276" s="487" t="e">
        <f>+VLOOKUP($AJ276,Data_Validation!$A:$D,3,0)</f>
        <v>#N/A</v>
      </c>
      <c r="AQ276" s="487" t="e">
        <f>+VLOOKUP($AJ276,Data_Validation!$A:$D,4,0)</f>
        <v>#N/A</v>
      </c>
      <c r="AR276" s="487" t="s">
        <v>299</v>
      </c>
      <c r="AS276" s="487" t="e">
        <f>+VLOOKUP($AJ276,Data_Validation!$A:$E,5,0)</f>
        <v>#N/A</v>
      </c>
      <c r="AT276" s="904">
        <f t="shared" si="18"/>
        <v>0</v>
      </c>
      <c r="AU276" s="488">
        <f t="shared" si="18"/>
        <v>0</v>
      </c>
      <c r="AV276" s="899">
        <f>IFERROR(INDEX(V276:AG276,1,MATCH(Parametres!$B$3,V$1:AG$1,0)-1)*IF(OR(C276="L",C276="S",C276="I"),-1,1),"")</f>
        <v>0</v>
      </c>
      <c r="AW276" s="899">
        <f t="shared" si="19"/>
        <v>0</v>
      </c>
      <c r="AX276" s="899">
        <f>INDEX(V276:AG276,1,MATCH(Parametres!$B$3,V$1:AG$1,0))*IF(OR(C276="L",C276="S",C276="I"),-1,1)</f>
        <v>0</v>
      </c>
      <c r="AY276" s="487" t="s">
        <v>337</v>
      </c>
      <c r="AZ276" s="487" t="e">
        <f>+VLOOKUP($AJ276,Data_Validation!$A:$E,5,0)</f>
        <v>#N/A</v>
      </c>
    </row>
    <row r="277" spans="36:52" ht="15" customHeight="1">
      <c r="AJ277" s="899">
        <f t="shared" si="16"/>
        <v>0</v>
      </c>
      <c r="AK277" s="899">
        <f t="shared" si="16"/>
        <v>0</v>
      </c>
      <c r="AL277" s="905">
        <f>IFERROR(INDEX(G277:R277,1,MATCH(Parametres!$B$3,G$1:R$1,0)-1)*IF(OR(F277="L",F277="S",F277="I"),-1,1),"")</f>
        <v>0</v>
      </c>
      <c r="AM277" s="905">
        <f t="shared" si="17"/>
        <v>0</v>
      </c>
      <c r="AN277" s="905">
        <f>INDEX(G277:R277,1,MATCH(Parametres!$B$3,G$1:R$1,0))*IF(OR(F277="L",F277="S",F277="I"),-1,1)</f>
        <v>0</v>
      </c>
      <c r="AO277" s="487" t="e">
        <f>+VLOOKUP($AJ277,Data_Validation!$A:$D,1,0)</f>
        <v>#N/A</v>
      </c>
      <c r="AP277" s="487" t="e">
        <f>+VLOOKUP($AJ277,Data_Validation!$A:$D,3,0)</f>
        <v>#N/A</v>
      </c>
      <c r="AQ277" s="487" t="e">
        <f>+VLOOKUP($AJ277,Data_Validation!$A:$D,4,0)</f>
        <v>#N/A</v>
      </c>
      <c r="AR277" s="487" t="s">
        <v>299</v>
      </c>
      <c r="AS277" s="487" t="e">
        <f>+VLOOKUP($AJ277,Data_Validation!$A:$E,5,0)</f>
        <v>#N/A</v>
      </c>
      <c r="AT277" s="904">
        <f t="shared" si="18"/>
        <v>0</v>
      </c>
      <c r="AU277" s="488">
        <f t="shared" si="18"/>
        <v>0</v>
      </c>
      <c r="AV277" s="899">
        <f>IFERROR(INDEX(V277:AG277,1,MATCH(Parametres!$B$3,V$1:AG$1,0)-1)*IF(OR(C277="L",C277="S",C277="I"),-1,1),"")</f>
        <v>0</v>
      </c>
      <c r="AW277" s="899">
        <f t="shared" si="19"/>
        <v>0</v>
      </c>
      <c r="AX277" s="899">
        <f>INDEX(V277:AG277,1,MATCH(Parametres!$B$3,V$1:AG$1,0))*IF(OR(C277="L",C277="S",C277="I"),-1,1)</f>
        <v>0</v>
      </c>
      <c r="AY277" s="487" t="s">
        <v>337</v>
      </c>
      <c r="AZ277" s="487" t="e">
        <f>+VLOOKUP($AJ277,Data_Validation!$A:$E,5,0)</f>
        <v>#N/A</v>
      </c>
    </row>
    <row r="278" spans="36:52" ht="15" customHeight="1">
      <c r="AJ278" s="899">
        <f t="shared" si="16"/>
        <v>0</v>
      </c>
      <c r="AK278" s="899">
        <f t="shared" si="16"/>
        <v>0</v>
      </c>
      <c r="AL278" s="905">
        <f>IFERROR(INDEX(G278:R278,1,MATCH(Parametres!$B$3,G$1:R$1,0)-1)*IF(OR(F278="L",F278="S",F278="I"),-1,1),"")</f>
        <v>0</v>
      </c>
      <c r="AM278" s="905">
        <f t="shared" si="17"/>
        <v>0</v>
      </c>
      <c r="AN278" s="905">
        <f>INDEX(G278:R278,1,MATCH(Parametres!$B$3,G$1:R$1,0))*IF(OR(F278="L",F278="S",F278="I"),-1,1)</f>
        <v>0</v>
      </c>
      <c r="AO278" s="487" t="e">
        <f>+VLOOKUP($AJ278,Data_Validation!$A:$D,1,0)</f>
        <v>#N/A</v>
      </c>
      <c r="AP278" s="487" t="e">
        <f>+VLOOKUP($AJ278,Data_Validation!$A:$D,3,0)</f>
        <v>#N/A</v>
      </c>
      <c r="AQ278" s="487" t="e">
        <f>+VLOOKUP($AJ278,Data_Validation!$A:$D,4,0)</f>
        <v>#N/A</v>
      </c>
      <c r="AR278" s="487" t="s">
        <v>299</v>
      </c>
      <c r="AS278" s="487" t="e">
        <f>+VLOOKUP($AJ278,Data_Validation!$A:$E,5,0)</f>
        <v>#N/A</v>
      </c>
      <c r="AT278" s="904">
        <f t="shared" si="18"/>
        <v>0</v>
      </c>
      <c r="AU278" s="488">
        <f t="shared" si="18"/>
        <v>0</v>
      </c>
      <c r="AV278" s="899">
        <f>IFERROR(INDEX(V278:AG278,1,MATCH(Parametres!$B$3,V$1:AG$1,0)-1)*IF(OR(C278="L",C278="S",C278="I"),-1,1),"")</f>
        <v>0</v>
      </c>
      <c r="AW278" s="899">
        <f t="shared" si="19"/>
        <v>0</v>
      </c>
      <c r="AX278" s="899">
        <f>INDEX(V278:AG278,1,MATCH(Parametres!$B$3,V$1:AG$1,0))*IF(OR(C278="L",C278="S",C278="I"),-1,1)</f>
        <v>0</v>
      </c>
      <c r="AY278" s="487" t="s">
        <v>337</v>
      </c>
      <c r="AZ278" s="487" t="e">
        <f>+VLOOKUP($AJ278,Data_Validation!$A:$E,5,0)</f>
        <v>#N/A</v>
      </c>
    </row>
    <row r="279" spans="36:52" ht="15.75" customHeight="1">
      <c r="AJ279" s="899">
        <f t="shared" si="16"/>
        <v>0</v>
      </c>
      <c r="AK279" s="899">
        <f t="shared" si="16"/>
        <v>0</v>
      </c>
      <c r="AL279" s="905">
        <f>IFERROR(INDEX(G279:R279,1,MATCH(Parametres!$B$3,G$1:R$1,0)-1)*IF(OR(F279="L",F279="S",F279="I"),-1,1),"")</f>
        <v>0</v>
      </c>
      <c r="AM279" s="905">
        <f t="shared" si="17"/>
        <v>0</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f t="shared" si="18"/>
        <v>0</v>
      </c>
      <c r="AU279" s="488">
        <f t="shared" si="18"/>
        <v>0</v>
      </c>
      <c r="AV279" s="899">
        <f>IFERROR(INDEX(V279:AG279,1,MATCH(Parametres!$B$3,V$1:AG$1,0)-1)*IF(OR(C279="L",C279="S",C279="I"),-1,1),"")</f>
        <v>0</v>
      </c>
      <c r="AW279" s="899">
        <f t="shared" si="19"/>
        <v>0</v>
      </c>
      <c r="AX279" s="899">
        <f>INDEX(V279:AG279,1,MATCH(Parametres!$B$3,V$1:AG$1,0))*IF(OR(C279="L",C279="S",C279="I"),-1,1)</f>
        <v>0</v>
      </c>
      <c r="AY279" s="487" t="s">
        <v>337</v>
      </c>
      <c r="AZ279" s="487" t="e">
        <f>+VLOOKUP($AJ279,Data_Validation!$A:$E,5,0)</f>
        <v>#N/A</v>
      </c>
    </row>
    <row r="280" spans="36:52" ht="15" customHeight="1">
      <c r="AJ280" s="899">
        <f t="shared" si="16"/>
        <v>0</v>
      </c>
      <c r="AK280" s="899">
        <f t="shared" si="16"/>
        <v>0</v>
      </c>
      <c r="AL280" s="905">
        <f>IFERROR(INDEX(G280:R280,1,MATCH(Parametres!$B$3,G$1:R$1,0)-1)*IF(OR(F280="L",F280="S",F280="I"),-1,1),"")</f>
        <v>0</v>
      </c>
      <c r="AM280" s="905">
        <f t="shared" si="17"/>
        <v>0</v>
      </c>
      <c r="AN280" s="905">
        <f>INDEX(G280:R280,1,MATCH(Parametres!$B$3,G$1:R$1,0))*IF(OR(F280="L",F280="S",F280="I"),-1,1)</f>
        <v>0</v>
      </c>
      <c r="AO280" s="487" t="e">
        <f>+VLOOKUP($AJ280,Data_Validation!$A:$D,1,0)</f>
        <v>#N/A</v>
      </c>
      <c r="AP280" s="487" t="e">
        <f>+VLOOKUP($AJ280,Data_Validation!$A:$D,3,0)</f>
        <v>#N/A</v>
      </c>
      <c r="AQ280" s="487" t="e">
        <f>+VLOOKUP($AJ280,Data_Validation!$A:$D,4,0)</f>
        <v>#N/A</v>
      </c>
      <c r="AR280" s="487" t="s">
        <v>299</v>
      </c>
      <c r="AS280" s="487" t="e">
        <f>+VLOOKUP($AJ280,Data_Validation!$A:$E,5,0)</f>
        <v>#N/A</v>
      </c>
      <c r="AT280" s="904">
        <f t="shared" si="18"/>
        <v>0</v>
      </c>
      <c r="AU280" s="488">
        <f t="shared" si="18"/>
        <v>0</v>
      </c>
      <c r="AV280" s="899">
        <f>IFERROR(INDEX(V280:AG280,1,MATCH(Parametres!$B$3,V$1:AG$1,0)-1)*IF(OR(C280="L",C280="S",C280="I"),-1,1),"")</f>
        <v>0</v>
      </c>
      <c r="AW280" s="899">
        <f t="shared" si="19"/>
        <v>0</v>
      </c>
      <c r="AX280" s="899">
        <f>INDEX(V280:AG280,1,MATCH(Parametres!$B$3,V$1:AG$1,0))*IF(OR(C280="L",C280="S",C280="I"),-1,1)</f>
        <v>0</v>
      </c>
      <c r="AY280" s="487" t="s">
        <v>337</v>
      </c>
      <c r="AZ280" s="487" t="e">
        <f>+VLOOKUP($AJ280,Data_Validation!$A:$E,5,0)</f>
        <v>#N/A</v>
      </c>
    </row>
    <row r="281" spans="36:52" ht="15" customHeight="1">
      <c r="AJ281" s="899">
        <f t="shared" si="16"/>
        <v>0</v>
      </c>
      <c r="AK281" s="899">
        <f t="shared" si="16"/>
        <v>0</v>
      </c>
      <c r="AL281" s="905">
        <f>IFERROR(INDEX(G281:R281,1,MATCH(Parametres!$B$3,G$1:R$1,0)-1)*IF(OR(F281="L",F281="S",F281="I"),-1,1),"")</f>
        <v>0</v>
      </c>
      <c r="AM281" s="905">
        <f t="shared" si="17"/>
        <v>0</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f t="shared" si="18"/>
        <v>0</v>
      </c>
      <c r="AU281" s="488">
        <f t="shared" si="18"/>
        <v>0</v>
      </c>
      <c r="AV281" s="899">
        <f>IFERROR(INDEX(V281:AG281,1,MATCH(Parametres!$B$3,V$1:AG$1,0)-1)*IF(OR(C281="L",C281="S",C281="I"),-1,1),"")</f>
        <v>0</v>
      </c>
      <c r="AW281" s="899">
        <f t="shared" si="19"/>
        <v>0</v>
      </c>
      <c r="AX281" s="899">
        <f>INDEX(V281:AG281,1,MATCH(Parametres!$B$3,V$1:AG$1,0))*IF(OR(C281="L",C281="S",C281="I"),-1,1)</f>
        <v>0</v>
      </c>
      <c r="AY281" s="487" t="s">
        <v>337</v>
      </c>
      <c r="AZ281" s="487" t="e">
        <f>+VLOOKUP($AJ281,Data_Validation!$A:$E,5,0)</f>
        <v>#N/A</v>
      </c>
    </row>
    <row r="282" spans="36:52" ht="15" customHeight="1">
      <c r="AJ282" s="899">
        <f t="shared" si="16"/>
        <v>0</v>
      </c>
      <c r="AK282" s="899">
        <f t="shared" si="16"/>
        <v>0</v>
      </c>
      <c r="AL282" s="905">
        <f>IFERROR(INDEX(G282:R282,1,MATCH(Parametres!$B$3,G$1:R$1,0)-1)*IF(OR(F282="L",F282="S",F282="I"),-1,1),"")</f>
        <v>0</v>
      </c>
      <c r="AM282" s="905">
        <f t="shared" si="17"/>
        <v>0</v>
      </c>
      <c r="AN282" s="905">
        <f>INDEX(G282:R282,1,MATCH(Parametres!$B$3,G$1:R$1,0))*IF(OR(F282="L",F282="S",F282="I"),-1,1)</f>
        <v>0</v>
      </c>
      <c r="AO282" s="487" t="e">
        <f>+VLOOKUP($AJ282,Data_Validation!$A:$D,1,0)</f>
        <v>#N/A</v>
      </c>
      <c r="AP282" s="487" t="e">
        <f>+VLOOKUP($AJ282,Data_Validation!$A:$D,3,0)</f>
        <v>#N/A</v>
      </c>
      <c r="AQ282" s="487" t="e">
        <f>+VLOOKUP($AJ282,Data_Validation!$A:$D,4,0)</f>
        <v>#N/A</v>
      </c>
      <c r="AR282" s="487" t="s">
        <v>299</v>
      </c>
      <c r="AS282" s="487" t="e">
        <f>+VLOOKUP($AJ282,Data_Validation!$A:$E,5,0)</f>
        <v>#N/A</v>
      </c>
      <c r="AT282" s="904">
        <f t="shared" si="18"/>
        <v>0</v>
      </c>
      <c r="AU282" s="488">
        <f t="shared" si="18"/>
        <v>0</v>
      </c>
      <c r="AV282" s="899">
        <f>IFERROR(INDEX(V282:AG282,1,MATCH(Parametres!$B$3,V$1:AG$1,0)-1)*IF(OR(C282="L",C282="S",C282="I"),-1,1),"")</f>
        <v>0</v>
      </c>
      <c r="AW282" s="899">
        <f t="shared" si="19"/>
        <v>0</v>
      </c>
      <c r="AX282" s="899">
        <f>INDEX(V282:AG282,1,MATCH(Parametres!$B$3,V$1:AG$1,0))*IF(OR(C282="L",C282="S",C282="I"),-1,1)</f>
        <v>0</v>
      </c>
      <c r="AY282" s="487" t="s">
        <v>337</v>
      </c>
      <c r="AZ282" s="487" t="e">
        <f>+VLOOKUP($AJ282,Data_Validation!$A:$E,5,0)</f>
        <v>#N/A</v>
      </c>
    </row>
    <row r="283" spans="36:52" ht="15.75" customHeight="1">
      <c r="AJ283" s="899">
        <f t="shared" si="16"/>
        <v>0</v>
      </c>
      <c r="AK283" s="899">
        <f t="shared" si="16"/>
        <v>0</v>
      </c>
      <c r="AL283" s="905">
        <f>IFERROR(INDEX(G283:R283,1,MATCH(Parametres!$B$3,G$1:R$1,0)-1)*IF(OR(F283="L",F283="S",F283="I"),-1,1),"")</f>
        <v>0</v>
      </c>
      <c r="AM283" s="905">
        <f t="shared" si="17"/>
        <v>0</v>
      </c>
      <c r="AN283" s="905">
        <f>INDEX(G283:R283,1,MATCH(Parametres!$B$3,G$1:R$1,0))*IF(OR(F283="L",F283="S",F283="I"),-1,1)</f>
        <v>0</v>
      </c>
      <c r="AO283" s="487" t="e">
        <f>+VLOOKUP($AJ283,Data_Validation!$A:$D,1,0)</f>
        <v>#N/A</v>
      </c>
      <c r="AP283" s="487" t="e">
        <f>+VLOOKUP($AJ283,Data_Validation!$A:$D,3,0)</f>
        <v>#N/A</v>
      </c>
      <c r="AQ283" s="487" t="e">
        <f>+VLOOKUP($AJ283,Data_Validation!$A:$D,4,0)</f>
        <v>#N/A</v>
      </c>
      <c r="AR283" s="487" t="s">
        <v>299</v>
      </c>
      <c r="AS283" s="487" t="e">
        <f>+VLOOKUP($AJ283,Data_Validation!$A:$E,5,0)</f>
        <v>#N/A</v>
      </c>
      <c r="AT283" s="904">
        <f t="shared" si="18"/>
        <v>0</v>
      </c>
      <c r="AU283" s="488">
        <f t="shared" si="18"/>
        <v>0</v>
      </c>
      <c r="AV283" s="899">
        <f>IFERROR(INDEX(V283:AG283,1,MATCH(Parametres!$B$3,V$1:AG$1,0)-1)*IF(OR(C283="L",C283="S",C283="I"),-1,1),"")</f>
        <v>0</v>
      </c>
      <c r="AW283" s="899">
        <f t="shared" si="19"/>
        <v>0</v>
      </c>
      <c r="AX283" s="899">
        <f>INDEX(V283:AG283,1,MATCH(Parametres!$B$3,V$1:AG$1,0))*IF(OR(C283="L",C283="S",C283="I"),-1,1)</f>
        <v>0</v>
      </c>
      <c r="AY283" s="487" t="s">
        <v>337</v>
      </c>
      <c r="AZ283" s="487" t="e">
        <f>+VLOOKUP($AJ283,Data_Validation!$A:$E,5,0)</f>
        <v>#N/A</v>
      </c>
    </row>
    <row r="284" spans="36:52" ht="15" customHeight="1">
      <c r="AJ284" s="899">
        <f t="shared" si="16"/>
        <v>0</v>
      </c>
      <c r="AK284" s="899">
        <f t="shared" si="16"/>
        <v>0</v>
      </c>
      <c r="AL284" s="905">
        <f>IFERROR(INDEX(G284:R284,1,MATCH(Parametres!$B$3,G$1:R$1,0)-1)*IF(OR(F284="L",F284="S",F284="I"),-1,1),"")</f>
        <v>0</v>
      </c>
      <c r="AM284" s="905">
        <f t="shared" si="17"/>
        <v>0</v>
      </c>
      <c r="AN284" s="905">
        <f>INDEX(G284:R284,1,MATCH(Parametres!$B$3,G$1:R$1,0))*IF(OR(F284="L",F284="S",F284="I"),-1,1)</f>
        <v>0</v>
      </c>
      <c r="AO284" s="487" t="e">
        <f>+VLOOKUP($AJ284,Data_Validation!$A:$D,1,0)</f>
        <v>#N/A</v>
      </c>
      <c r="AP284" s="487" t="e">
        <f>+VLOOKUP($AJ284,Data_Validation!$A:$D,3,0)</f>
        <v>#N/A</v>
      </c>
      <c r="AQ284" s="487" t="e">
        <f>+VLOOKUP($AJ284,Data_Validation!$A:$D,4,0)</f>
        <v>#N/A</v>
      </c>
      <c r="AR284" s="487" t="s">
        <v>299</v>
      </c>
      <c r="AS284" s="487" t="e">
        <f>+VLOOKUP($AJ284,Data_Validation!$A:$E,5,0)</f>
        <v>#N/A</v>
      </c>
      <c r="AT284" s="904">
        <f t="shared" si="18"/>
        <v>0</v>
      </c>
      <c r="AU284" s="488">
        <f t="shared" si="18"/>
        <v>0</v>
      </c>
      <c r="AV284" s="899">
        <f>IFERROR(INDEX(V284:AG284,1,MATCH(Parametres!$B$3,V$1:AG$1,0)-1)*IF(OR(C284="L",C284="S",C284="I"),-1,1),"")</f>
        <v>0</v>
      </c>
      <c r="AW284" s="899">
        <f t="shared" si="19"/>
        <v>0</v>
      </c>
      <c r="AX284" s="899">
        <f>INDEX(V284:AG284,1,MATCH(Parametres!$B$3,V$1:AG$1,0))*IF(OR(C284="L",C284="S",C284="I"),-1,1)</f>
        <v>0</v>
      </c>
      <c r="AY284" s="487" t="s">
        <v>337</v>
      </c>
      <c r="AZ284" s="487" t="e">
        <f>+VLOOKUP($AJ284,Data_Validation!$A:$E,5,0)</f>
        <v>#N/A</v>
      </c>
    </row>
    <row r="285" spans="36:52" ht="15" customHeight="1">
      <c r="AJ285" s="899">
        <f t="shared" si="16"/>
        <v>0</v>
      </c>
      <c r="AK285" s="899">
        <f t="shared" si="16"/>
        <v>0</v>
      </c>
      <c r="AL285" s="905">
        <f>IFERROR(INDEX(G285:R285,1,MATCH(Parametres!$B$3,G$1:R$1,0)-1)*IF(OR(F285="L",F285="S",F285="I"),-1,1),"")</f>
        <v>0</v>
      </c>
      <c r="AM285" s="905">
        <f t="shared" si="17"/>
        <v>0</v>
      </c>
      <c r="AN285" s="905">
        <f>INDEX(G285:R285,1,MATCH(Parametres!$B$3,G$1:R$1,0))*IF(OR(F285="L",F285="S",F285="I"),-1,1)</f>
        <v>0</v>
      </c>
      <c r="AO285" s="487" t="e">
        <f>+VLOOKUP($AJ285,Data_Validation!$A:$D,1,0)</f>
        <v>#N/A</v>
      </c>
      <c r="AP285" s="487" t="e">
        <f>+VLOOKUP($AJ285,Data_Validation!$A:$D,3,0)</f>
        <v>#N/A</v>
      </c>
      <c r="AQ285" s="487" t="e">
        <f>+VLOOKUP($AJ285,Data_Validation!$A:$D,4,0)</f>
        <v>#N/A</v>
      </c>
      <c r="AR285" s="487" t="s">
        <v>299</v>
      </c>
      <c r="AS285" s="487" t="e">
        <f>+VLOOKUP($AJ285,Data_Validation!$A:$E,5,0)</f>
        <v>#N/A</v>
      </c>
      <c r="AT285" s="904">
        <f t="shared" si="18"/>
        <v>0</v>
      </c>
      <c r="AU285" s="488">
        <f t="shared" si="18"/>
        <v>0</v>
      </c>
      <c r="AV285" s="899">
        <f>IFERROR(INDEX(V285:AG285,1,MATCH(Parametres!$B$3,V$1:AG$1,0)-1)*IF(OR(C285="L",C285="S",C285="I"),-1,1),"")</f>
        <v>0</v>
      </c>
      <c r="AW285" s="899">
        <f t="shared" si="19"/>
        <v>0</v>
      </c>
      <c r="AX285" s="899">
        <f>INDEX(V285:AG285,1,MATCH(Parametres!$B$3,V$1:AG$1,0))*IF(OR(C285="L",C285="S",C285="I"),-1,1)</f>
        <v>0</v>
      </c>
      <c r="AY285" s="487" t="s">
        <v>337</v>
      </c>
      <c r="AZ285" s="487" t="e">
        <f>+VLOOKUP($AJ285,Data_Validation!$A:$E,5,0)</f>
        <v>#N/A</v>
      </c>
    </row>
    <row r="286" spans="36:52" ht="15" customHeight="1">
      <c r="AJ286" s="899">
        <f t="shared" si="16"/>
        <v>0</v>
      </c>
      <c r="AK286" s="899">
        <f t="shared" si="16"/>
        <v>0</v>
      </c>
      <c r="AL286" s="905">
        <f>IFERROR(INDEX(G286:R286,1,MATCH(Parametres!$B$3,G$1:R$1,0)-1)*IF(OR(F286="L",F286="S",F286="I"),-1,1),"")</f>
        <v>0</v>
      </c>
      <c r="AM286" s="905">
        <f t="shared" si="17"/>
        <v>0</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f t="shared" si="18"/>
        <v>0</v>
      </c>
      <c r="AU286" s="488">
        <f t="shared" si="18"/>
        <v>0</v>
      </c>
      <c r="AV286" s="899">
        <f>IFERROR(INDEX(V286:AG286,1,MATCH(Parametres!$B$3,V$1:AG$1,0)-1)*IF(OR(C286="L",C286="S",C286="I"),-1,1),"")</f>
        <v>0</v>
      </c>
      <c r="AW286" s="899">
        <f t="shared" si="19"/>
        <v>0</v>
      </c>
      <c r="AX286" s="899">
        <f>INDEX(V286:AG286,1,MATCH(Parametres!$B$3,V$1:AG$1,0))*IF(OR(C286="L",C286="S",C286="I"),-1,1)</f>
        <v>0</v>
      </c>
      <c r="AY286" s="487" t="s">
        <v>337</v>
      </c>
      <c r="AZ286" s="487" t="e">
        <f>+VLOOKUP($AJ286,Data_Validation!$A:$E,5,0)</f>
        <v>#N/A</v>
      </c>
    </row>
    <row r="287" spans="36:52" ht="15.75" customHeight="1">
      <c r="AJ287" s="899">
        <f t="shared" si="16"/>
        <v>0</v>
      </c>
      <c r="AK287" s="899">
        <f t="shared" si="16"/>
        <v>0</v>
      </c>
      <c r="AL287" s="905">
        <f>IFERROR(INDEX(G287:R287,1,MATCH(Parametres!$B$3,G$1:R$1,0)-1)*IF(OR(F287="L",F287="S",F287="I"),-1,1),"")</f>
        <v>0</v>
      </c>
      <c r="AM287" s="905">
        <f t="shared" si="17"/>
        <v>0</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f t="shared" si="18"/>
        <v>0</v>
      </c>
      <c r="AU287" s="488">
        <f t="shared" si="18"/>
        <v>0</v>
      </c>
      <c r="AV287" s="899">
        <f>IFERROR(INDEX(V287:AG287,1,MATCH(Parametres!$B$3,V$1:AG$1,0)-1)*IF(OR(C287="L",C287="S",C287="I"),-1,1),"")</f>
        <v>0</v>
      </c>
      <c r="AW287" s="899">
        <f t="shared" si="19"/>
        <v>0</v>
      </c>
      <c r="AX287" s="899">
        <f>INDEX(V287:AG287,1,MATCH(Parametres!$B$3,V$1:AG$1,0))*IF(OR(C287="L",C287="S",C287="I"),-1,1)</f>
        <v>0</v>
      </c>
      <c r="AY287" s="487" t="s">
        <v>337</v>
      </c>
      <c r="AZ287" s="487" t="e">
        <f>+VLOOKUP($AJ287,Data_Validation!$A:$E,5,0)</f>
        <v>#N/A</v>
      </c>
    </row>
    <row r="288" spans="36:52" ht="15" customHeight="1">
      <c r="AJ288" s="899">
        <f t="shared" si="16"/>
        <v>0</v>
      </c>
      <c r="AK288" s="899">
        <f t="shared" si="16"/>
        <v>0</v>
      </c>
      <c r="AL288" s="905">
        <f>IFERROR(INDEX(G288:R288,1,MATCH(Parametres!$B$3,G$1:R$1,0)-1)*IF(OR(F288="L",F288="S",F288="I"),-1,1),"")</f>
        <v>0</v>
      </c>
      <c r="AM288" s="905">
        <f t="shared" si="17"/>
        <v>0</v>
      </c>
      <c r="AN288" s="905">
        <f>INDEX(G288:R288,1,MATCH(Parametres!$B$3,G$1:R$1,0))*IF(OR(F288="L",F288="S",F288="I"),-1,1)</f>
        <v>0</v>
      </c>
      <c r="AO288" s="487" t="e">
        <f>+VLOOKUP($AJ288,Data_Validation!$A:$D,1,0)</f>
        <v>#N/A</v>
      </c>
      <c r="AP288" s="487" t="e">
        <f>+VLOOKUP($AJ288,Data_Validation!$A:$D,3,0)</f>
        <v>#N/A</v>
      </c>
      <c r="AQ288" s="487" t="e">
        <f>+VLOOKUP($AJ288,Data_Validation!$A:$D,4,0)</f>
        <v>#N/A</v>
      </c>
      <c r="AR288" s="487" t="s">
        <v>299</v>
      </c>
      <c r="AS288" s="487" t="e">
        <f>+VLOOKUP($AJ288,Data_Validation!$A:$E,5,0)</f>
        <v>#N/A</v>
      </c>
      <c r="AT288" s="904">
        <f t="shared" si="18"/>
        <v>0</v>
      </c>
      <c r="AU288" s="488">
        <f t="shared" si="18"/>
        <v>0</v>
      </c>
      <c r="AV288" s="899">
        <f>IFERROR(INDEX(V288:AG288,1,MATCH(Parametres!$B$3,V$1:AG$1,0)-1)*IF(OR(C288="L",C288="S",C288="I"),-1,1),"")</f>
        <v>0</v>
      </c>
      <c r="AW288" s="899">
        <f t="shared" si="19"/>
        <v>0</v>
      </c>
      <c r="AX288" s="899">
        <f>INDEX(V288:AG288,1,MATCH(Parametres!$B$3,V$1:AG$1,0))*IF(OR(C288="L",C288="S",C288="I"),-1,1)</f>
        <v>0</v>
      </c>
      <c r="AY288" s="487" t="s">
        <v>337</v>
      </c>
      <c r="AZ288" s="487" t="e">
        <f>+VLOOKUP($AJ288,Data_Validation!$A:$E,5,0)</f>
        <v>#N/A</v>
      </c>
    </row>
    <row r="289" spans="36:52" ht="15" customHeight="1">
      <c r="AJ289" s="899">
        <f t="shared" si="16"/>
        <v>0</v>
      </c>
      <c r="AK289" s="899">
        <f t="shared" si="16"/>
        <v>0</v>
      </c>
      <c r="AL289" s="905">
        <f>IFERROR(INDEX(G289:R289,1,MATCH(Parametres!$B$3,G$1:R$1,0)-1)*IF(OR(F289="L",F289="S",F289="I"),-1,1),"")</f>
        <v>0</v>
      </c>
      <c r="AM289" s="905">
        <f t="shared" si="17"/>
        <v>0</v>
      </c>
      <c r="AN289" s="905">
        <f>INDEX(G289:R289,1,MATCH(Parametres!$B$3,G$1:R$1,0))*IF(OR(F289="L",F289="S",F289="I"),-1,1)</f>
        <v>0</v>
      </c>
      <c r="AO289" s="487" t="e">
        <f>+VLOOKUP($AJ289,Data_Validation!$A:$D,1,0)</f>
        <v>#N/A</v>
      </c>
      <c r="AP289" s="487" t="e">
        <f>+VLOOKUP($AJ289,Data_Validation!$A:$D,3,0)</f>
        <v>#N/A</v>
      </c>
      <c r="AQ289" s="487" t="e">
        <f>+VLOOKUP($AJ289,Data_Validation!$A:$D,4,0)</f>
        <v>#N/A</v>
      </c>
      <c r="AR289" s="487" t="s">
        <v>299</v>
      </c>
      <c r="AS289" s="487" t="e">
        <f>+VLOOKUP($AJ289,Data_Validation!$A:$E,5,0)</f>
        <v>#N/A</v>
      </c>
      <c r="AT289" s="904">
        <f t="shared" si="18"/>
        <v>0</v>
      </c>
      <c r="AU289" s="488">
        <f t="shared" si="18"/>
        <v>0</v>
      </c>
      <c r="AV289" s="899">
        <f>IFERROR(INDEX(V289:AG289,1,MATCH(Parametres!$B$3,V$1:AG$1,0)-1)*IF(OR(C289="L",C289="S",C289="I"),-1,1),"")</f>
        <v>0</v>
      </c>
      <c r="AW289" s="899">
        <f t="shared" si="19"/>
        <v>0</v>
      </c>
      <c r="AX289" s="899">
        <f>INDEX(V289:AG289,1,MATCH(Parametres!$B$3,V$1:AG$1,0))*IF(OR(C289="L",C289="S",C289="I"),-1,1)</f>
        <v>0</v>
      </c>
      <c r="AY289" s="487" t="s">
        <v>337</v>
      </c>
      <c r="AZ289" s="487" t="e">
        <f>+VLOOKUP($AJ289,Data_Validation!$A:$E,5,0)</f>
        <v>#N/A</v>
      </c>
    </row>
    <row r="290" spans="36:52" ht="15" customHeight="1">
      <c r="AJ290" s="899">
        <f t="shared" si="16"/>
        <v>0</v>
      </c>
      <c r="AK290" s="899">
        <f t="shared" si="16"/>
        <v>0</v>
      </c>
      <c r="AL290" s="905">
        <f>IFERROR(INDEX(G290:R290,1,MATCH(Parametres!$B$3,G$1:R$1,0)-1)*IF(OR(F290="L",F290="S",F290="I"),-1,1),"")</f>
        <v>0</v>
      </c>
      <c r="AM290" s="905">
        <f t="shared" si="17"/>
        <v>0</v>
      </c>
      <c r="AN290" s="905">
        <f>INDEX(G290:R290,1,MATCH(Parametres!$B$3,G$1:R$1,0))*IF(OR(F290="L",F290="S",F290="I"),-1,1)</f>
        <v>0</v>
      </c>
      <c r="AO290" s="487" t="e">
        <f>+VLOOKUP($AJ290,Data_Validation!$A:$D,1,0)</f>
        <v>#N/A</v>
      </c>
      <c r="AP290" s="487" t="e">
        <f>+VLOOKUP($AJ290,Data_Validation!$A:$D,3,0)</f>
        <v>#N/A</v>
      </c>
      <c r="AQ290" s="487" t="e">
        <f>+VLOOKUP($AJ290,Data_Validation!$A:$D,4,0)</f>
        <v>#N/A</v>
      </c>
      <c r="AR290" s="487" t="s">
        <v>299</v>
      </c>
      <c r="AS290" s="487" t="e">
        <f>+VLOOKUP($AJ290,Data_Validation!$A:$E,5,0)</f>
        <v>#N/A</v>
      </c>
      <c r="AT290" s="904">
        <f t="shared" si="18"/>
        <v>0</v>
      </c>
      <c r="AU290" s="488">
        <f t="shared" si="18"/>
        <v>0</v>
      </c>
      <c r="AV290" s="899">
        <f>IFERROR(INDEX(V290:AG290,1,MATCH(Parametres!$B$3,V$1:AG$1,0)-1)*IF(OR(C290="L",C290="S",C290="I"),-1,1),"")</f>
        <v>0</v>
      </c>
      <c r="AW290" s="899">
        <f t="shared" si="19"/>
        <v>0</v>
      </c>
      <c r="AX290" s="899">
        <f>INDEX(V290:AG290,1,MATCH(Parametres!$B$3,V$1:AG$1,0))*IF(OR(C290="L",C290="S",C290="I"),-1,1)</f>
        <v>0</v>
      </c>
      <c r="AY290" s="487" t="s">
        <v>337</v>
      </c>
      <c r="AZ290" s="487" t="e">
        <f>+VLOOKUP($AJ290,Data_Validation!$A:$E,5,0)</f>
        <v>#N/A</v>
      </c>
    </row>
    <row r="291" spans="36:52" ht="15.75" customHeight="1">
      <c r="AJ291" s="899">
        <f t="shared" si="16"/>
        <v>0</v>
      </c>
      <c r="AK291" s="899">
        <f t="shared" si="16"/>
        <v>0</v>
      </c>
      <c r="AL291" s="905">
        <f>IFERROR(INDEX(G291:R291,1,MATCH(Parametres!$B$3,G$1:R$1,0)-1)*IF(OR(F291="L",F291="S",F291="I"),-1,1),"")</f>
        <v>0</v>
      </c>
      <c r="AM291" s="905">
        <f t="shared" si="17"/>
        <v>0</v>
      </c>
      <c r="AN291" s="905">
        <f>INDEX(G291:R291,1,MATCH(Parametres!$B$3,G$1:R$1,0))*IF(OR(F291="L",F291="S",F291="I"),-1,1)</f>
        <v>0</v>
      </c>
      <c r="AO291" s="487" t="e">
        <f>+VLOOKUP($AJ291,Data_Validation!$A:$D,1,0)</f>
        <v>#N/A</v>
      </c>
      <c r="AP291" s="487" t="e">
        <f>+VLOOKUP($AJ291,Data_Validation!$A:$D,3,0)</f>
        <v>#N/A</v>
      </c>
      <c r="AQ291" s="487" t="e">
        <f>+VLOOKUP($AJ291,Data_Validation!$A:$D,4,0)</f>
        <v>#N/A</v>
      </c>
      <c r="AR291" s="487" t="s">
        <v>299</v>
      </c>
      <c r="AS291" s="487" t="e">
        <f>+VLOOKUP($AJ291,Data_Validation!$A:$E,5,0)</f>
        <v>#N/A</v>
      </c>
      <c r="AT291" s="904">
        <f t="shared" si="18"/>
        <v>0</v>
      </c>
      <c r="AU291" s="488">
        <f t="shared" si="18"/>
        <v>0</v>
      </c>
      <c r="AV291" s="899">
        <f>IFERROR(INDEX(V291:AG291,1,MATCH(Parametres!$B$3,V$1:AG$1,0)-1)*IF(OR(C291="L",C291="S",C291="I"),-1,1),"")</f>
        <v>0</v>
      </c>
      <c r="AW291" s="899">
        <f t="shared" si="19"/>
        <v>0</v>
      </c>
      <c r="AX291" s="899">
        <f>INDEX(V291:AG291,1,MATCH(Parametres!$B$3,V$1:AG$1,0))*IF(OR(C291="L",C291="S",C291="I"),-1,1)</f>
        <v>0</v>
      </c>
      <c r="AY291" s="487" t="s">
        <v>337</v>
      </c>
      <c r="AZ291" s="487" t="e">
        <f>+VLOOKUP($AJ291,Data_Validation!$A:$E,5,0)</f>
        <v>#N/A</v>
      </c>
    </row>
    <row r="292" spans="36:52" ht="15" customHeight="1">
      <c r="AJ292" s="899">
        <f t="shared" si="16"/>
        <v>0</v>
      </c>
      <c r="AK292" s="899">
        <f t="shared" si="16"/>
        <v>0</v>
      </c>
      <c r="AL292" s="905">
        <f>IFERROR(INDEX(G292:R292,1,MATCH(Parametres!$B$3,G$1:R$1,0)-1)*IF(OR(F292="L",F292="S",F292="I"),-1,1),"")</f>
        <v>0</v>
      </c>
      <c r="AM292" s="905">
        <f t="shared" si="17"/>
        <v>0</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f t="shared" si="18"/>
        <v>0</v>
      </c>
      <c r="AU292" s="488">
        <f t="shared" si="18"/>
        <v>0</v>
      </c>
      <c r="AV292" s="899">
        <f>IFERROR(INDEX(V292:AG292,1,MATCH(Parametres!$B$3,V$1:AG$1,0)-1)*IF(OR(C292="L",C292="S",C292="I"),-1,1),"")</f>
        <v>0</v>
      </c>
      <c r="AW292" s="899">
        <f t="shared" si="19"/>
        <v>0</v>
      </c>
      <c r="AX292" s="899">
        <f>INDEX(V292:AG292,1,MATCH(Parametres!$B$3,V$1:AG$1,0))*IF(OR(C292="L",C292="S",C292="I"),-1,1)</f>
        <v>0</v>
      </c>
      <c r="AY292" s="487" t="s">
        <v>337</v>
      </c>
      <c r="AZ292" s="487" t="e">
        <f>+VLOOKUP($AJ292,Data_Validation!$A:$E,5,0)</f>
        <v>#N/A</v>
      </c>
    </row>
    <row r="293" spans="36:52" ht="15" customHeight="1">
      <c r="AJ293" s="899">
        <f t="shared" si="16"/>
        <v>0</v>
      </c>
      <c r="AK293" s="899">
        <f t="shared" si="16"/>
        <v>0</v>
      </c>
      <c r="AL293" s="905">
        <f>IFERROR(INDEX(G293:R293,1,MATCH(Parametres!$B$3,G$1:R$1,0)-1)*IF(OR(F293="L",F293="S",F293="I"),-1,1),"")</f>
        <v>0</v>
      </c>
      <c r="AM293" s="905">
        <f t="shared" si="17"/>
        <v>0</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f t="shared" si="18"/>
        <v>0</v>
      </c>
      <c r="AU293" s="488">
        <f t="shared" si="18"/>
        <v>0</v>
      </c>
      <c r="AV293" s="899">
        <f>IFERROR(INDEX(V293:AG293,1,MATCH(Parametres!$B$3,V$1:AG$1,0)-1)*IF(OR(C293="L",C293="S",C293="I"),-1,1),"")</f>
        <v>0</v>
      </c>
      <c r="AW293" s="899">
        <f t="shared" si="19"/>
        <v>0</v>
      </c>
      <c r="AX293" s="899">
        <f>INDEX(V293:AG293,1,MATCH(Parametres!$B$3,V$1:AG$1,0))*IF(OR(C293="L",C293="S",C293="I"),-1,1)</f>
        <v>0</v>
      </c>
      <c r="AY293" s="487" t="s">
        <v>337</v>
      </c>
      <c r="AZ293" s="487" t="e">
        <f>+VLOOKUP($AJ293,Data_Validation!$A:$E,5,0)</f>
        <v>#N/A</v>
      </c>
    </row>
    <row r="294" spans="36:52" ht="15" customHeight="1">
      <c r="AJ294" s="899">
        <f t="shared" si="16"/>
        <v>0</v>
      </c>
      <c r="AK294" s="899">
        <f t="shared" si="16"/>
        <v>0</v>
      </c>
      <c r="AL294" s="905">
        <f>IFERROR(INDEX(G294:R294,1,MATCH(Parametres!$B$3,G$1:R$1,0)-1)*IF(OR(F294="L",F294="S",F294="I"),-1,1),"")</f>
        <v>0</v>
      </c>
      <c r="AM294" s="905">
        <f t="shared" si="17"/>
        <v>0</v>
      </c>
      <c r="AN294" s="905">
        <f>INDEX(G294:R294,1,MATCH(Parametres!$B$3,G$1:R$1,0))*IF(OR(F294="L",F294="S",F294="I"),-1,1)</f>
        <v>0</v>
      </c>
      <c r="AO294" s="487" t="e">
        <f>+VLOOKUP($AJ294,Data_Validation!$A:$D,1,0)</f>
        <v>#N/A</v>
      </c>
      <c r="AP294" s="487" t="e">
        <f>+VLOOKUP($AJ294,Data_Validation!$A:$D,3,0)</f>
        <v>#N/A</v>
      </c>
      <c r="AQ294" s="487" t="e">
        <f>+VLOOKUP($AJ294,Data_Validation!$A:$D,4,0)</f>
        <v>#N/A</v>
      </c>
      <c r="AR294" s="487" t="s">
        <v>299</v>
      </c>
      <c r="AS294" s="487" t="e">
        <f>+VLOOKUP($AJ294,Data_Validation!$A:$E,5,0)</f>
        <v>#N/A</v>
      </c>
      <c r="AT294" s="904">
        <f t="shared" si="18"/>
        <v>0</v>
      </c>
      <c r="AU294" s="488">
        <f t="shared" si="18"/>
        <v>0</v>
      </c>
      <c r="AV294" s="899">
        <f>IFERROR(INDEX(V294:AG294,1,MATCH(Parametres!$B$3,V$1:AG$1,0)-1)*IF(OR(C294="L",C294="S",C294="I"),-1,1),"")</f>
        <v>0</v>
      </c>
      <c r="AW294" s="899">
        <f t="shared" si="19"/>
        <v>0</v>
      </c>
      <c r="AX294" s="899">
        <f>INDEX(V294:AG294,1,MATCH(Parametres!$B$3,V$1:AG$1,0))*IF(OR(C294="L",C294="S",C294="I"),-1,1)</f>
        <v>0</v>
      </c>
      <c r="AY294" s="487" t="s">
        <v>337</v>
      </c>
      <c r="AZ294" s="487" t="e">
        <f>+VLOOKUP($AJ294,Data_Validation!$A:$E,5,0)</f>
        <v>#N/A</v>
      </c>
    </row>
    <row r="295" spans="36:52" ht="15" customHeight="1">
      <c r="AJ295" s="899">
        <f t="shared" si="16"/>
        <v>0</v>
      </c>
      <c r="AK295" s="899">
        <f t="shared" si="16"/>
        <v>0</v>
      </c>
      <c r="AL295" s="905">
        <f>IFERROR(INDEX(G295:R295,1,MATCH(Parametres!$B$3,G$1:R$1,0)-1)*IF(OR(F295="L",F295="S",F295="I"),-1,1),"")</f>
        <v>0</v>
      </c>
      <c r="AM295" s="905">
        <f t="shared" si="17"/>
        <v>0</v>
      </c>
      <c r="AN295" s="905">
        <f>INDEX(G295:R295,1,MATCH(Parametres!$B$3,G$1:R$1,0))*IF(OR(F295="L",F295="S",F295="I"),-1,1)</f>
        <v>0</v>
      </c>
      <c r="AO295" s="487" t="e">
        <f>+VLOOKUP($AJ295,Data_Validation!$A:$D,1,0)</f>
        <v>#N/A</v>
      </c>
      <c r="AP295" s="487" t="e">
        <f>+VLOOKUP($AJ295,Data_Validation!$A:$D,3,0)</f>
        <v>#N/A</v>
      </c>
      <c r="AQ295" s="487" t="e">
        <f>+VLOOKUP($AJ295,Data_Validation!$A:$D,4,0)</f>
        <v>#N/A</v>
      </c>
      <c r="AR295" s="487" t="s">
        <v>299</v>
      </c>
      <c r="AS295" s="487" t="e">
        <f>+VLOOKUP($AJ295,Data_Validation!$A:$E,5,0)</f>
        <v>#N/A</v>
      </c>
      <c r="AT295" s="904">
        <f t="shared" si="18"/>
        <v>0</v>
      </c>
      <c r="AU295" s="488">
        <f t="shared" si="18"/>
        <v>0</v>
      </c>
      <c r="AV295" s="899">
        <f>IFERROR(INDEX(V295:AG295,1,MATCH(Parametres!$B$3,V$1:AG$1,0)-1)*IF(OR(C295="L",C295="S",C295="I"),-1,1),"")</f>
        <v>0</v>
      </c>
      <c r="AW295" s="899">
        <f t="shared" si="19"/>
        <v>0</v>
      </c>
      <c r="AX295" s="899">
        <f>INDEX(V295:AG295,1,MATCH(Parametres!$B$3,V$1:AG$1,0))*IF(OR(C295="L",C295="S",C295="I"),-1,1)</f>
        <v>0</v>
      </c>
      <c r="AY295" s="487" t="s">
        <v>337</v>
      </c>
      <c r="AZ295" s="487" t="e">
        <f>+VLOOKUP($AJ295,Data_Validation!$A:$E,5,0)</f>
        <v>#N/A</v>
      </c>
    </row>
    <row r="296" spans="36:52" ht="15" customHeight="1">
      <c r="AJ296" s="899">
        <f t="shared" si="16"/>
        <v>0</v>
      </c>
      <c r="AK296" s="899">
        <f t="shared" si="16"/>
        <v>0</v>
      </c>
      <c r="AL296" s="905">
        <f>IFERROR(INDEX(G296:R296,1,MATCH(Parametres!$B$3,G$1:R$1,0)-1)*IF(OR(F296="L",F296="S",F296="I"),-1,1),"")</f>
        <v>0</v>
      </c>
      <c r="AM296" s="905">
        <f t="shared" si="17"/>
        <v>0</v>
      </c>
      <c r="AN296" s="905">
        <f>INDEX(G296:R296,1,MATCH(Parametres!$B$3,G$1:R$1,0))*IF(OR(F296="L",F296="S",F296="I"),-1,1)</f>
        <v>0</v>
      </c>
      <c r="AO296" s="487" t="e">
        <f>+VLOOKUP($AJ296,Data_Validation!$A:$D,1,0)</f>
        <v>#N/A</v>
      </c>
      <c r="AP296" s="487" t="e">
        <f>+VLOOKUP($AJ296,Data_Validation!$A:$D,3,0)</f>
        <v>#N/A</v>
      </c>
      <c r="AQ296" s="487" t="e">
        <f>+VLOOKUP($AJ296,Data_Validation!$A:$D,4,0)</f>
        <v>#N/A</v>
      </c>
      <c r="AR296" s="487" t="s">
        <v>299</v>
      </c>
      <c r="AS296" s="487" t="e">
        <f>+VLOOKUP($AJ296,Data_Validation!$A:$E,5,0)</f>
        <v>#N/A</v>
      </c>
      <c r="AT296" s="904">
        <f t="shared" si="18"/>
        <v>0</v>
      </c>
      <c r="AU296" s="488">
        <f t="shared" si="18"/>
        <v>0</v>
      </c>
      <c r="AV296" s="899">
        <f>IFERROR(INDEX(V296:AG296,1,MATCH(Parametres!$B$3,V$1:AG$1,0)-1)*IF(OR(C296="L",C296="S",C296="I"),-1,1),"")</f>
        <v>0</v>
      </c>
      <c r="AW296" s="899">
        <f t="shared" si="19"/>
        <v>0</v>
      </c>
      <c r="AX296" s="899">
        <f>INDEX(V296:AG296,1,MATCH(Parametres!$B$3,V$1:AG$1,0))*IF(OR(C296="L",C296="S",C296="I"),-1,1)</f>
        <v>0</v>
      </c>
      <c r="AY296" s="487" t="s">
        <v>337</v>
      </c>
      <c r="AZ296" s="487" t="e">
        <f>+VLOOKUP($AJ296,Data_Validation!$A:$E,5,0)</f>
        <v>#N/A</v>
      </c>
    </row>
    <row r="297" spans="36:52" ht="15.75" customHeight="1">
      <c r="AJ297" s="899">
        <f t="shared" si="16"/>
        <v>0</v>
      </c>
      <c r="AK297" s="899">
        <f t="shared" si="16"/>
        <v>0</v>
      </c>
      <c r="AL297" s="905">
        <f>IFERROR(INDEX(G297:R297,1,MATCH(Parametres!$B$3,G$1:R$1,0)-1)*IF(OR(F297="L",F297="S",F297="I"),-1,1),"")</f>
        <v>0</v>
      </c>
      <c r="AM297" s="905">
        <f t="shared" si="17"/>
        <v>0</v>
      </c>
      <c r="AN297" s="905">
        <f>INDEX(G297:R297,1,MATCH(Parametres!$B$3,G$1:R$1,0))*IF(OR(F297="L",F297="S",F297="I"),-1,1)</f>
        <v>0</v>
      </c>
      <c r="AO297" s="487" t="e">
        <f>+VLOOKUP($AJ297,Data_Validation!$A:$D,1,0)</f>
        <v>#N/A</v>
      </c>
      <c r="AP297" s="487" t="e">
        <f>+VLOOKUP($AJ297,Data_Validation!$A:$D,3,0)</f>
        <v>#N/A</v>
      </c>
      <c r="AQ297" s="487" t="e">
        <f>+VLOOKUP($AJ297,Data_Validation!$A:$D,4,0)</f>
        <v>#N/A</v>
      </c>
      <c r="AR297" s="487" t="s">
        <v>299</v>
      </c>
      <c r="AS297" s="487" t="e">
        <f>+VLOOKUP($AJ297,Data_Validation!$A:$E,5,0)</f>
        <v>#N/A</v>
      </c>
      <c r="AT297" s="904">
        <f t="shared" si="18"/>
        <v>0</v>
      </c>
      <c r="AU297" s="488">
        <f t="shared" si="18"/>
        <v>0</v>
      </c>
      <c r="AV297" s="899">
        <f>IFERROR(INDEX(V297:AG297,1,MATCH(Parametres!$B$3,V$1:AG$1,0)-1)*IF(OR(C297="L",C297="S",C297="I"),-1,1),"")</f>
        <v>0</v>
      </c>
      <c r="AW297" s="899">
        <f t="shared" si="19"/>
        <v>0</v>
      </c>
      <c r="AX297" s="899">
        <f>INDEX(V297:AG297,1,MATCH(Parametres!$B$3,V$1:AG$1,0))*IF(OR(C297="L",C297="S",C297="I"),-1,1)</f>
        <v>0</v>
      </c>
      <c r="AY297" s="487" t="s">
        <v>337</v>
      </c>
      <c r="AZ297" s="487" t="e">
        <f>+VLOOKUP($AJ297,Data_Validation!$A:$E,5,0)</f>
        <v>#N/A</v>
      </c>
    </row>
    <row r="298" spans="36:52" ht="15" customHeight="1">
      <c r="AJ298" s="899">
        <f t="shared" si="16"/>
        <v>0</v>
      </c>
      <c r="AK298" s="899">
        <f t="shared" si="16"/>
        <v>0</v>
      </c>
      <c r="AL298" s="905">
        <f>IFERROR(INDEX(G298:R298,1,MATCH(Parametres!$B$3,G$1:R$1,0)-1)*IF(OR(F298="L",F298="S",F298="I"),-1,1),"")</f>
        <v>0</v>
      </c>
      <c r="AM298" s="905">
        <f t="shared" si="17"/>
        <v>0</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f t="shared" si="18"/>
        <v>0</v>
      </c>
      <c r="AU298" s="488">
        <f t="shared" si="18"/>
        <v>0</v>
      </c>
      <c r="AV298" s="899">
        <f>IFERROR(INDEX(V298:AG298,1,MATCH(Parametres!$B$3,V$1:AG$1,0)-1)*IF(OR(C298="L",C298="S",C298="I"),-1,1),"")</f>
        <v>0</v>
      </c>
      <c r="AW298" s="899">
        <f t="shared" si="19"/>
        <v>0</v>
      </c>
      <c r="AX298" s="899">
        <f>INDEX(V298:AG298,1,MATCH(Parametres!$B$3,V$1:AG$1,0))*IF(OR(C298="L",C298="S",C298="I"),-1,1)</f>
        <v>0</v>
      </c>
      <c r="AY298" s="487" t="s">
        <v>337</v>
      </c>
      <c r="AZ298" s="487" t="e">
        <f>+VLOOKUP($AJ298,Data_Validation!$A:$E,5,0)</f>
        <v>#N/A</v>
      </c>
    </row>
    <row r="299" spans="36:52" ht="15" customHeight="1">
      <c r="AJ299" s="899">
        <f t="shared" si="16"/>
        <v>0</v>
      </c>
      <c r="AK299" s="899">
        <f t="shared" si="16"/>
        <v>0</v>
      </c>
      <c r="AL299" s="905">
        <f>IFERROR(INDEX(G299:R299,1,MATCH(Parametres!$B$3,G$1:R$1,0)-1)*IF(OR(F299="L",F299="S",F299="I"),-1,1),"")</f>
        <v>0</v>
      </c>
      <c r="AM299" s="905">
        <f t="shared" si="17"/>
        <v>0</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f t="shared" si="18"/>
        <v>0</v>
      </c>
      <c r="AU299" s="488">
        <f t="shared" si="18"/>
        <v>0</v>
      </c>
      <c r="AV299" s="899">
        <f>IFERROR(INDEX(V299:AG299,1,MATCH(Parametres!$B$3,V$1:AG$1,0)-1)*IF(OR(C299="L",C299="S",C299="I"),-1,1),"")</f>
        <v>0</v>
      </c>
      <c r="AW299" s="899">
        <f t="shared" si="19"/>
        <v>0</v>
      </c>
      <c r="AX299" s="899">
        <f>INDEX(V299:AG299,1,MATCH(Parametres!$B$3,V$1:AG$1,0))*IF(OR(C299="L",C299="S",C299="I"),-1,1)</f>
        <v>0</v>
      </c>
      <c r="AY299" s="487" t="s">
        <v>337</v>
      </c>
      <c r="AZ299" s="487" t="e">
        <f>+VLOOKUP($AJ299,Data_Validation!$A:$E,5,0)</f>
        <v>#N/A</v>
      </c>
    </row>
    <row r="300" spans="36:52" ht="15" customHeight="1">
      <c r="AJ300" s="899">
        <f t="shared" si="16"/>
        <v>0</v>
      </c>
      <c r="AK300" s="899">
        <f t="shared" si="16"/>
        <v>0</v>
      </c>
      <c r="AL300" s="905">
        <f>IFERROR(INDEX(G300:R300,1,MATCH(Parametres!$B$3,G$1:R$1,0)-1)*IF(OR(F300="L",F300="S",F300="I"),-1,1),"")</f>
        <v>0</v>
      </c>
      <c r="AM300" s="905">
        <f t="shared" si="17"/>
        <v>0</v>
      </c>
      <c r="AN300" s="905">
        <f>INDEX(G300:R300,1,MATCH(Parametres!$B$3,G$1:R$1,0))*IF(OR(F300="L",F300="S",F300="I"),-1,1)</f>
        <v>0</v>
      </c>
      <c r="AO300" s="487" t="e">
        <f>+VLOOKUP($AJ300,Data_Validation!$A:$D,1,0)</f>
        <v>#N/A</v>
      </c>
      <c r="AP300" s="487" t="e">
        <f>+VLOOKUP($AJ300,Data_Validation!$A:$D,3,0)</f>
        <v>#N/A</v>
      </c>
      <c r="AQ300" s="487" t="e">
        <f>+VLOOKUP($AJ300,Data_Validation!$A:$D,4,0)</f>
        <v>#N/A</v>
      </c>
      <c r="AR300" s="487" t="s">
        <v>299</v>
      </c>
      <c r="AS300" s="487" t="e">
        <f>+VLOOKUP($AJ300,Data_Validation!$A:$E,5,0)</f>
        <v>#N/A</v>
      </c>
      <c r="AT300" s="904">
        <f t="shared" si="18"/>
        <v>0</v>
      </c>
      <c r="AU300" s="488">
        <f t="shared" si="18"/>
        <v>0</v>
      </c>
      <c r="AV300" s="899">
        <f>IFERROR(INDEX(V300:AG300,1,MATCH(Parametres!$B$3,V$1:AG$1,0)-1)*IF(OR(C300="L",C300="S",C300="I"),-1,1),"")</f>
        <v>0</v>
      </c>
      <c r="AW300" s="899">
        <f t="shared" si="19"/>
        <v>0</v>
      </c>
      <c r="AX300" s="899">
        <f>INDEX(V300:AG300,1,MATCH(Parametres!$B$3,V$1:AG$1,0))*IF(OR(C300="L",C300="S",C300="I"),-1,1)</f>
        <v>0</v>
      </c>
      <c r="AY300" s="487" t="s">
        <v>337</v>
      </c>
      <c r="AZ300" s="487" t="e">
        <f>+VLOOKUP($AJ300,Data_Validation!$A:$E,5,0)</f>
        <v>#N/A</v>
      </c>
    </row>
    <row r="301" spans="36:52" ht="15.75" customHeight="1">
      <c r="AJ301" s="899">
        <f t="shared" si="16"/>
        <v>0</v>
      </c>
      <c r="AK301" s="899">
        <f t="shared" si="16"/>
        <v>0</v>
      </c>
      <c r="AL301" s="905">
        <f>IFERROR(INDEX(G301:R301,1,MATCH(Parametres!$B$3,G$1:R$1,0)-1)*IF(OR(F301="L",F301="S",F301="I"),-1,1),"")</f>
        <v>0</v>
      </c>
      <c r="AM301" s="905">
        <f t="shared" si="17"/>
        <v>0</v>
      </c>
      <c r="AN301" s="905">
        <f>INDEX(G301:R301,1,MATCH(Parametres!$B$3,G$1:R$1,0))*IF(OR(F301="L",F301="S",F301="I"),-1,1)</f>
        <v>0</v>
      </c>
      <c r="AO301" s="487" t="e">
        <f>+VLOOKUP($AJ301,Data_Validation!$A:$D,1,0)</f>
        <v>#N/A</v>
      </c>
      <c r="AP301" s="487" t="e">
        <f>+VLOOKUP($AJ301,Data_Validation!$A:$D,3,0)</f>
        <v>#N/A</v>
      </c>
      <c r="AQ301" s="487" t="e">
        <f>+VLOOKUP($AJ301,Data_Validation!$A:$D,4,0)</f>
        <v>#N/A</v>
      </c>
      <c r="AR301" s="487" t="s">
        <v>299</v>
      </c>
      <c r="AS301" s="487" t="e">
        <f>+VLOOKUP($AJ301,Data_Validation!$A:$E,5,0)</f>
        <v>#N/A</v>
      </c>
      <c r="AT301" s="904">
        <f t="shared" si="18"/>
        <v>0</v>
      </c>
      <c r="AU301" s="488">
        <f t="shared" si="18"/>
        <v>0</v>
      </c>
      <c r="AV301" s="899">
        <f>IFERROR(INDEX(V301:AG301,1,MATCH(Parametres!$B$3,V$1:AG$1,0)-1)*IF(OR(C301="L",C301="S",C301="I"),-1,1),"")</f>
        <v>0</v>
      </c>
      <c r="AW301" s="899">
        <f t="shared" si="19"/>
        <v>0</v>
      </c>
      <c r="AX301" s="899">
        <f>INDEX(V301:AG301,1,MATCH(Parametres!$B$3,V$1:AG$1,0))*IF(OR(C301="L",C301="S",C301="I"),-1,1)</f>
        <v>0</v>
      </c>
      <c r="AY301" s="487" t="s">
        <v>337</v>
      </c>
      <c r="AZ301" s="487" t="e">
        <f>+VLOOKUP($AJ301,Data_Validation!$A:$E,5,0)</f>
        <v>#N/A</v>
      </c>
    </row>
    <row r="302" spans="36:52" ht="15" customHeight="1">
      <c r="AJ302" s="899">
        <f t="shared" si="16"/>
        <v>0</v>
      </c>
      <c r="AK302" s="899">
        <f t="shared" si="16"/>
        <v>0</v>
      </c>
      <c r="AL302" s="905">
        <f>IFERROR(INDEX(G302:R302,1,MATCH(Parametres!$B$3,G$1:R$1,0)-1)*IF(OR(F302="L",F302="S",F302="I"),-1,1),"")</f>
        <v>0</v>
      </c>
      <c r="AM302" s="905">
        <f t="shared" si="17"/>
        <v>0</v>
      </c>
      <c r="AN302" s="905">
        <f>INDEX(G302:R302,1,MATCH(Parametres!$B$3,G$1:R$1,0))*IF(OR(F302="L",F302="S",F302="I"),-1,1)</f>
        <v>0</v>
      </c>
      <c r="AO302" s="487" t="e">
        <f>+VLOOKUP($AJ302,Data_Validation!$A:$D,1,0)</f>
        <v>#N/A</v>
      </c>
      <c r="AP302" s="487" t="e">
        <f>+VLOOKUP($AJ302,Data_Validation!$A:$D,3,0)</f>
        <v>#N/A</v>
      </c>
      <c r="AQ302" s="487" t="e">
        <f>+VLOOKUP($AJ302,Data_Validation!$A:$D,4,0)</f>
        <v>#N/A</v>
      </c>
      <c r="AR302" s="487" t="s">
        <v>299</v>
      </c>
      <c r="AS302" s="487" t="e">
        <f>+VLOOKUP($AJ302,Data_Validation!$A:$E,5,0)</f>
        <v>#N/A</v>
      </c>
      <c r="AT302" s="904">
        <f t="shared" si="18"/>
        <v>0</v>
      </c>
      <c r="AU302" s="488">
        <f t="shared" si="18"/>
        <v>0</v>
      </c>
      <c r="AV302" s="899">
        <f>IFERROR(INDEX(V302:AG302,1,MATCH(Parametres!$B$3,V$1:AG$1,0)-1)*IF(OR(C302="L",C302="S",C302="I"),-1,1),"")</f>
        <v>0</v>
      </c>
      <c r="AW302" s="899">
        <f t="shared" si="19"/>
        <v>0</v>
      </c>
      <c r="AX302" s="899">
        <f>INDEX(V302:AG302,1,MATCH(Parametres!$B$3,V$1:AG$1,0))*IF(OR(C302="L",C302="S",C302="I"),-1,1)</f>
        <v>0</v>
      </c>
      <c r="AY302" s="487" t="s">
        <v>337</v>
      </c>
      <c r="AZ302" s="487" t="e">
        <f>+VLOOKUP($AJ302,Data_Validation!$A:$E,5,0)</f>
        <v>#N/A</v>
      </c>
    </row>
    <row r="303" spans="36:52" ht="15" customHeight="1">
      <c r="AJ303" s="899">
        <f t="shared" si="16"/>
        <v>0</v>
      </c>
      <c r="AK303" s="899">
        <f t="shared" si="16"/>
        <v>0</v>
      </c>
      <c r="AL303" s="905">
        <f>IFERROR(INDEX(G303:R303,1,MATCH(Parametres!$B$3,G$1:R$1,0)-1)*IF(OR(F303="L",F303="S",F303="I"),-1,1),"")</f>
        <v>0</v>
      </c>
      <c r="AM303" s="905">
        <f t="shared" si="17"/>
        <v>0</v>
      </c>
      <c r="AN303" s="905">
        <f>INDEX(G303:R303,1,MATCH(Parametres!$B$3,G$1:R$1,0))*IF(OR(F303="L",F303="S",F303="I"),-1,1)</f>
        <v>0</v>
      </c>
      <c r="AO303" s="487" t="e">
        <f>+VLOOKUP($AJ303,Data_Validation!$A:$D,1,0)</f>
        <v>#N/A</v>
      </c>
      <c r="AP303" s="487" t="e">
        <f>+VLOOKUP($AJ303,Data_Validation!$A:$D,3,0)</f>
        <v>#N/A</v>
      </c>
      <c r="AQ303" s="487" t="e">
        <f>+VLOOKUP($AJ303,Data_Validation!$A:$D,4,0)</f>
        <v>#N/A</v>
      </c>
      <c r="AR303" s="487" t="s">
        <v>299</v>
      </c>
      <c r="AS303" s="487" t="e">
        <f>+VLOOKUP($AJ303,Data_Validation!$A:$E,5,0)</f>
        <v>#N/A</v>
      </c>
      <c r="AT303" s="904">
        <f t="shared" si="18"/>
        <v>0</v>
      </c>
      <c r="AU303" s="488">
        <f t="shared" si="18"/>
        <v>0</v>
      </c>
      <c r="AV303" s="899">
        <f>IFERROR(INDEX(V303:AG303,1,MATCH(Parametres!$B$3,V$1:AG$1,0)-1)*IF(OR(C303="L",C303="S",C303="I"),-1,1),"")</f>
        <v>0</v>
      </c>
      <c r="AW303" s="899">
        <f t="shared" si="19"/>
        <v>0</v>
      </c>
      <c r="AX303" s="899">
        <f>INDEX(V303:AG303,1,MATCH(Parametres!$B$3,V$1:AG$1,0))*IF(OR(C303="L",C303="S",C303="I"),-1,1)</f>
        <v>0</v>
      </c>
      <c r="AY303" s="487" t="s">
        <v>337</v>
      </c>
      <c r="AZ303" s="487" t="e">
        <f>+VLOOKUP($AJ303,Data_Validation!$A:$E,5,0)</f>
        <v>#N/A</v>
      </c>
    </row>
    <row r="304" spans="36:52" ht="15" customHeight="1">
      <c r="AJ304" s="899">
        <f t="shared" si="16"/>
        <v>0</v>
      </c>
      <c r="AK304" s="899">
        <f t="shared" si="16"/>
        <v>0</v>
      </c>
      <c r="AL304" s="905">
        <f>IFERROR(INDEX(G304:R304,1,MATCH(Parametres!$B$3,G$1:R$1,0)-1)*IF(OR(F304="L",F304="S",F304="I"),-1,1),"")</f>
        <v>0</v>
      </c>
      <c r="AM304" s="905">
        <f t="shared" si="17"/>
        <v>0</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f t="shared" si="18"/>
        <v>0</v>
      </c>
      <c r="AU304" s="488">
        <f t="shared" si="18"/>
        <v>0</v>
      </c>
      <c r="AV304" s="899">
        <f>IFERROR(INDEX(V304:AG304,1,MATCH(Parametres!$B$3,V$1:AG$1,0)-1)*IF(OR(C304="L",C304="S",C304="I"),-1,1),"")</f>
        <v>0</v>
      </c>
      <c r="AW304" s="899">
        <f t="shared" si="19"/>
        <v>0</v>
      </c>
      <c r="AX304" s="899">
        <f>INDEX(V304:AG304,1,MATCH(Parametres!$B$3,V$1:AG$1,0))*IF(OR(C304="L",C304="S",C304="I"),-1,1)</f>
        <v>0</v>
      </c>
      <c r="AY304" s="487" t="s">
        <v>337</v>
      </c>
      <c r="AZ304" s="487" t="e">
        <f>+VLOOKUP($AJ304,Data_Validation!$A:$E,5,0)</f>
        <v>#N/A</v>
      </c>
    </row>
    <row r="305" spans="36:52" ht="15.75" customHeight="1">
      <c r="AJ305" s="899">
        <f t="shared" si="16"/>
        <v>0</v>
      </c>
      <c r="AK305" s="899">
        <f t="shared" si="16"/>
        <v>0</v>
      </c>
      <c r="AL305" s="905">
        <f>IFERROR(INDEX(G305:R305,1,MATCH(Parametres!$B$3,G$1:R$1,0)-1)*IF(OR(F305="L",F305="S",F305="I"),-1,1),"")</f>
        <v>0</v>
      </c>
      <c r="AM305" s="905">
        <f t="shared" si="17"/>
        <v>0</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f t="shared" si="18"/>
        <v>0</v>
      </c>
      <c r="AU305" s="488">
        <f t="shared" si="18"/>
        <v>0</v>
      </c>
      <c r="AV305" s="899">
        <f>IFERROR(INDEX(V305:AG305,1,MATCH(Parametres!$B$3,V$1:AG$1,0)-1)*IF(OR(C305="L",C305="S",C305="I"),-1,1),"")</f>
        <v>0</v>
      </c>
      <c r="AW305" s="899">
        <f t="shared" si="19"/>
        <v>0</v>
      </c>
      <c r="AX305" s="899">
        <f>INDEX(V305:AG305,1,MATCH(Parametres!$B$3,V$1:AG$1,0))*IF(OR(C305="L",C305="S",C305="I"),-1,1)</f>
        <v>0</v>
      </c>
      <c r="AY305" s="487" t="s">
        <v>337</v>
      </c>
      <c r="AZ305" s="487" t="e">
        <f>+VLOOKUP($AJ305,Data_Validation!$A:$E,5,0)</f>
        <v>#N/A</v>
      </c>
    </row>
    <row r="306" spans="36:52" ht="15" customHeight="1">
      <c r="AJ306" s="899">
        <f t="shared" si="16"/>
        <v>0</v>
      </c>
      <c r="AK306" s="899">
        <f t="shared" si="16"/>
        <v>0</v>
      </c>
      <c r="AL306" s="905">
        <f>IFERROR(INDEX(G306:R306,1,MATCH(Parametres!$B$3,G$1:R$1,0)-1)*IF(OR(F306="L",F306="S",F306="I"),-1,1),"")</f>
        <v>0</v>
      </c>
      <c r="AM306" s="905">
        <f t="shared" si="17"/>
        <v>0</v>
      </c>
      <c r="AN306" s="905">
        <f>INDEX(G306:R306,1,MATCH(Parametres!$B$3,G$1:R$1,0))*IF(OR(F306="L",F306="S",F306="I"),-1,1)</f>
        <v>0</v>
      </c>
      <c r="AO306" s="487" t="e">
        <f>+VLOOKUP($AJ306,Data_Validation!$A:$D,1,0)</f>
        <v>#N/A</v>
      </c>
      <c r="AP306" s="487" t="e">
        <f>+VLOOKUP($AJ306,Data_Validation!$A:$D,3,0)</f>
        <v>#N/A</v>
      </c>
      <c r="AQ306" s="487" t="e">
        <f>+VLOOKUP($AJ306,Data_Validation!$A:$D,4,0)</f>
        <v>#N/A</v>
      </c>
      <c r="AR306" s="487" t="s">
        <v>299</v>
      </c>
      <c r="AS306" s="487" t="e">
        <f>+VLOOKUP($AJ306,Data_Validation!$A:$E,5,0)</f>
        <v>#N/A</v>
      </c>
      <c r="AT306" s="904">
        <f t="shared" si="18"/>
        <v>0</v>
      </c>
      <c r="AU306" s="488">
        <f t="shared" si="18"/>
        <v>0</v>
      </c>
      <c r="AV306" s="899">
        <f>IFERROR(INDEX(V306:AG306,1,MATCH(Parametres!$B$3,V$1:AG$1,0)-1)*IF(OR(C306="L",C306="S",C306="I"),-1,1),"")</f>
        <v>0</v>
      </c>
      <c r="AW306" s="899">
        <f t="shared" si="19"/>
        <v>0</v>
      </c>
      <c r="AX306" s="899">
        <f>INDEX(V306:AG306,1,MATCH(Parametres!$B$3,V$1:AG$1,0))*IF(OR(C306="L",C306="S",C306="I"),-1,1)</f>
        <v>0</v>
      </c>
      <c r="AY306" s="487" t="s">
        <v>337</v>
      </c>
      <c r="AZ306" s="487" t="e">
        <f>+VLOOKUP($AJ306,Data_Validation!$A:$E,5,0)</f>
        <v>#N/A</v>
      </c>
    </row>
    <row r="307" spans="36:52" ht="15" customHeight="1">
      <c r="AJ307" s="899">
        <f t="shared" si="16"/>
        <v>0</v>
      </c>
      <c r="AK307" s="899">
        <f t="shared" si="16"/>
        <v>0</v>
      </c>
      <c r="AL307" s="905">
        <f>IFERROR(INDEX(G307:R307,1,MATCH(Parametres!$B$3,G$1:R$1,0)-1)*IF(OR(F307="L",F307="S",F307="I"),-1,1),"")</f>
        <v>0</v>
      </c>
      <c r="AM307" s="905">
        <f t="shared" si="17"/>
        <v>0</v>
      </c>
      <c r="AN307" s="905">
        <f>INDEX(G307:R307,1,MATCH(Parametres!$B$3,G$1:R$1,0))*IF(OR(F307="L",F307="S",F307="I"),-1,1)</f>
        <v>0</v>
      </c>
      <c r="AO307" s="487" t="e">
        <f>+VLOOKUP($AJ307,Data_Validation!$A:$D,1,0)</f>
        <v>#N/A</v>
      </c>
      <c r="AP307" s="487" t="e">
        <f>+VLOOKUP($AJ307,Data_Validation!$A:$D,3,0)</f>
        <v>#N/A</v>
      </c>
      <c r="AQ307" s="487" t="e">
        <f>+VLOOKUP($AJ307,Data_Validation!$A:$D,4,0)</f>
        <v>#N/A</v>
      </c>
      <c r="AR307" s="487" t="s">
        <v>299</v>
      </c>
      <c r="AS307" s="487" t="e">
        <f>+VLOOKUP($AJ307,Data_Validation!$A:$E,5,0)</f>
        <v>#N/A</v>
      </c>
      <c r="AT307" s="904">
        <f t="shared" si="18"/>
        <v>0</v>
      </c>
      <c r="AU307" s="488">
        <f t="shared" si="18"/>
        <v>0</v>
      </c>
      <c r="AV307" s="899">
        <f>IFERROR(INDEX(V307:AG307,1,MATCH(Parametres!$B$3,V$1:AG$1,0)-1)*IF(OR(C307="L",C307="S",C307="I"),-1,1),"")</f>
        <v>0</v>
      </c>
      <c r="AW307" s="899">
        <f t="shared" si="19"/>
        <v>0</v>
      </c>
      <c r="AX307" s="899">
        <f>INDEX(V307:AG307,1,MATCH(Parametres!$B$3,V$1:AG$1,0))*IF(OR(C307="L",C307="S",C307="I"),-1,1)</f>
        <v>0</v>
      </c>
      <c r="AY307" s="487" t="s">
        <v>337</v>
      </c>
      <c r="AZ307" s="487" t="e">
        <f>+VLOOKUP($AJ307,Data_Validation!$A:$E,5,0)</f>
        <v>#N/A</v>
      </c>
    </row>
    <row r="308" spans="36:52" ht="15" customHeight="1">
      <c r="AJ308" s="899">
        <f t="shared" si="16"/>
        <v>0</v>
      </c>
      <c r="AK308" s="899">
        <f t="shared" si="16"/>
        <v>0</v>
      </c>
      <c r="AL308" s="905">
        <f>IFERROR(INDEX(G308:R308,1,MATCH(Parametres!$B$3,G$1:R$1,0)-1)*IF(OR(F308="L",F308="S",F308="I"),-1,1),"")</f>
        <v>0</v>
      </c>
      <c r="AM308" s="905">
        <f t="shared" si="17"/>
        <v>0</v>
      </c>
      <c r="AN308" s="905">
        <f>INDEX(G308:R308,1,MATCH(Parametres!$B$3,G$1:R$1,0))*IF(OR(F308="L",F308="S",F308="I"),-1,1)</f>
        <v>0</v>
      </c>
      <c r="AO308" s="487" t="e">
        <f>+VLOOKUP($AJ308,Data_Validation!$A:$D,1,0)</f>
        <v>#N/A</v>
      </c>
      <c r="AP308" s="487" t="e">
        <f>+VLOOKUP($AJ308,Data_Validation!$A:$D,3,0)</f>
        <v>#N/A</v>
      </c>
      <c r="AQ308" s="487" t="e">
        <f>+VLOOKUP($AJ308,Data_Validation!$A:$D,4,0)</f>
        <v>#N/A</v>
      </c>
      <c r="AR308" s="487" t="s">
        <v>299</v>
      </c>
      <c r="AS308" s="487" t="e">
        <f>+VLOOKUP($AJ308,Data_Validation!$A:$E,5,0)</f>
        <v>#N/A</v>
      </c>
      <c r="AT308" s="904">
        <f t="shared" si="18"/>
        <v>0</v>
      </c>
      <c r="AU308" s="488">
        <f t="shared" si="18"/>
        <v>0</v>
      </c>
      <c r="AV308" s="899">
        <f>IFERROR(INDEX(V308:AG308,1,MATCH(Parametres!$B$3,V$1:AG$1,0)-1)*IF(OR(C308="L",C308="S",C308="I"),-1,1),"")</f>
        <v>0</v>
      </c>
      <c r="AW308" s="899">
        <f t="shared" si="19"/>
        <v>0</v>
      </c>
      <c r="AX308" s="899">
        <f>INDEX(V308:AG308,1,MATCH(Parametres!$B$3,V$1:AG$1,0))*IF(OR(C308="L",C308="S",C308="I"),-1,1)</f>
        <v>0</v>
      </c>
      <c r="AY308" s="487" t="s">
        <v>337</v>
      </c>
      <c r="AZ308" s="487" t="e">
        <f>+VLOOKUP($AJ308,Data_Validation!$A:$E,5,0)</f>
        <v>#N/A</v>
      </c>
    </row>
    <row r="309" spans="36:52" ht="15.75" customHeight="1">
      <c r="AJ309" s="899">
        <f t="shared" si="16"/>
        <v>0</v>
      </c>
      <c r="AK309" s="899">
        <f t="shared" si="16"/>
        <v>0</v>
      </c>
      <c r="AL309" s="905">
        <f>IFERROR(INDEX(G309:R309,1,MATCH(Parametres!$B$3,G$1:R$1,0)-1)*IF(OR(F309="L",F309="S",F309="I"),-1,1),"")</f>
        <v>0</v>
      </c>
      <c r="AM309" s="905">
        <f t="shared" si="17"/>
        <v>0</v>
      </c>
      <c r="AN309" s="905">
        <f>INDEX(G309:R309,1,MATCH(Parametres!$B$3,G$1:R$1,0))*IF(OR(F309="L",F309="S",F309="I"),-1,1)</f>
        <v>0</v>
      </c>
      <c r="AO309" s="487" t="e">
        <f>+VLOOKUP($AJ309,Data_Validation!$A:$D,1,0)</f>
        <v>#N/A</v>
      </c>
      <c r="AP309" s="487" t="e">
        <f>+VLOOKUP($AJ309,Data_Validation!$A:$D,3,0)</f>
        <v>#N/A</v>
      </c>
      <c r="AQ309" s="487" t="e">
        <f>+VLOOKUP($AJ309,Data_Validation!$A:$D,4,0)</f>
        <v>#N/A</v>
      </c>
      <c r="AR309" s="487" t="s">
        <v>299</v>
      </c>
      <c r="AS309" s="487" t="e">
        <f>+VLOOKUP($AJ309,Data_Validation!$A:$E,5,0)</f>
        <v>#N/A</v>
      </c>
      <c r="AT309" s="904">
        <f t="shared" si="18"/>
        <v>0</v>
      </c>
      <c r="AU309" s="488">
        <f t="shared" si="18"/>
        <v>0</v>
      </c>
      <c r="AV309" s="899">
        <f>IFERROR(INDEX(V309:AG309,1,MATCH(Parametres!$B$3,V$1:AG$1,0)-1)*IF(OR(C309="L",C309="S",C309="I"),-1,1),"")</f>
        <v>0</v>
      </c>
      <c r="AW309" s="899">
        <f t="shared" si="19"/>
        <v>0</v>
      </c>
      <c r="AX309" s="899">
        <f>INDEX(V309:AG309,1,MATCH(Parametres!$B$3,V$1:AG$1,0))*IF(OR(C309="L",C309="S",C309="I"),-1,1)</f>
        <v>0</v>
      </c>
      <c r="AY309" s="487" t="s">
        <v>337</v>
      </c>
      <c r="AZ309" s="487" t="e">
        <f>+VLOOKUP($AJ309,Data_Validation!$A:$E,5,0)</f>
        <v>#N/A</v>
      </c>
    </row>
    <row r="310" spans="36:52" ht="15" customHeight="1">
      <c r="AJ310" s="899">
        <f t="shared" si="16"/>
        <v>0</v>
      </c>
      <c r="AK310" s="899">
        <f t="shared" si="16"/>
        <v>0</v>
      </c>
      <c r="AL310" s="905">
        <f>IFERROR(INDEX(G310:R310,1,MATCH(Parametres!$B$3,G$1:R$1,0)-1)*IF(OR(F310="L",F310="S",F310="I"),-1,1),"")</f>
        <v>0</v>
      </c>
      <c r="AM310" s="905">
        <f t="shared" si="17"/>
        <v>0</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f t="shared" si="18"/>
        <v>0</v>
      </c>
      <c r="AU310" s="488">
        <f t="shared" si="18"/>
        <v>0</v>
      </c>
      <c r="AV310" s="899">
        <f>IFERROR(INDEX(V310:AG310,1,MATCH(Parametres!$B$3,V$1:AG$1,0)-1)*IF(OR(C310="L",C310="S",C310="I"),-1,1),"")</f>
        <v>0</v>
      </c>
      <c r="AW310" s="899">
        <f t="shared" si="19"/>
        <v>0</v>
      </c>
      <c r="AX310" s="899">
        <f>INDEX(V310:AG310,1,MATCH(Parametres!$B$3,V$1:AG$1,0))*IF(OR(C310="L",C310="S",C310="I"),-1,1)</f>
        <v>0</v>
      </c>
      <c r="AY310" s="487" t="s">
        <v>337</v>
      </c>
      <c r="AZ310" s="487" t="e">
        <f>+VLOOKUP($AJ310,Data_Validation!$A:$E,5,0)</f>
        <v>#N/A</v>
      </c>
    </row>
    <row r="311" spans="36:52" ht="15" customHeight="1">
      <c r="AJ311" s="899">
        <f t="shared" si="16"/>
        <v>0</v>
      </c>
      <c r="AK311" s="899">
        <f t="shared" si="16"/>
        <v>0</v>
      </c>
      <c r="AL311" s="905">
        <f>IFERROR(INDEX(G311:R311,1,MATCH(Parametres!$B$3,G$1:R$1,0)-1)*IF(OR(F311="L",F311="S",F311="I"),-1,1),"")</f>
        <v>0</v>
      </c>
      <c r="AM311" s="905">
        <f t="shared" si="17"/>
        <v>0</v>
      </c>
      <c r="AN311" s="905">
        <f>INDEX(G311:R311,1,MATCH(Parametres!$B$3,G$1:R$1,0))*IF(OR(F311="L",F311="S",F311="I"),-1,1)</f>
        <v>0</v>
      </c>
      <c r="AO311" s="487" t="e">
        <f>+VLOOKUP($AJ311,Data_Validation!$A:$D,1,0)</f>
        <v>#N/A</v>
      </c>
      <c r="AP311" s="487" t="e">
        <f>+VLOOKUP($AJ311,Data_Validation!$A:$D,3,0)</f>
        <v>#N/A</v>
      </c>
      <c r="AQ311" s="487" t="e">
        <f>+VLOOKUP($AJ311,Data_Validation!$A:$D,4,0)</f>
        <v>#N/A</v>
      </c>
      <c r="AR311" s="487" t="s">
        <v>299</v>
      </c>
      <c r="AS311" s="487" t="e">
        <f>+VLOOKUP($AJ311,Data_Validation!$A:$E,5,0)</f>
        <v>#N/A</v>
      </c>
      <c r="AT311" s="904">
        <f t="shared" si="18"/>
        <v>0</v>
      </c>
      <c r="AU311" s="488">
        <f t="shared" si="18"/>
        <v>0</v>
      </c>
      <c r="AV311" s="899">
        <f>IFERROR(INDEX(V311:AG311,1,MATCH(Parametres!$B$3,V$1:AG$1,0)-1)*IF(OR(C311="L",C311="S",C311="I"),-1,1),"")</f>
        <v>0</v>
      </c>
      <c r="AW311" s="899">
        <f t="shared" si="19"/>
        <v>0</v>
      </c>
      <c r="AX311" s="899">
        <f>INDEX(V311:AG311,1,MATCH(Parametres!$B$3,V$1:AG$1,0))*IF(OR(C311="L",C311="S",C311="I"),-1,1)</f>
        <v>0</v>
      </c>
      <c r="AY311" s="487" t="s">
        <v>337</v>
      </c>
      <c r="AZ311" s="487" t="e">
        <f>+VLOOKUP($AJ311,Data_Validation!$A:$E,5,0)</f>
        <v>#N/A</v>
      </c>
    </row>
    <row r="312" spans="36:52" ht="15" customHeight="1">
      <c r="AJ312" s="899">
        <f t="shared" si="16"/>
        <v>0</v>
      </c>
      <c r="AK312" s="899">
        <f t="shared" si="16"/>
        <v>0</v>
      </c>
      <c r="AL312" s="905">
        <f>IFERROR(INDEX(G312:R312,1,MATCH(Parametres!$B$3,G$1:R$1,0)-1)*IF(OR(F312="L",F312="S",F312="I"),-1,1),"")</f>
        <v>0</v>
      </c>
      <c r="AM312" s="905">
        <f t="shared" si="17"/>
        <v>0</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f t="shared" si="18"/>
        <v>0</v>
      </c>
      <c r="AU312" s="488">
        <f t="shared" si="18"/>
        <v>0</v>
      </c>
      <c r="AV312" s="899">
        <f>IFERROR(INDEX(V312:AG312,1,MATCH(Parametres!$B$3,V$1:AG$1,0)-1)*IF(OR(C312="L",C312="S",C312="I"),-1,1),"")</f>
        <v>0</v>
      </c>
      <c r="AW312" s="899">
        <f t="shared" si="19"/>
        <v>0</v>
      </c>
      <c r="AX312" s="899">
        <f>INDEX(V312:AG312,1,MATCH(Parametres!$B$3,V$1:AG$1,0))*IF(OR(C312="L",C312="S",C312="I"),-1,1)</f>
        <v>0</v>
      </c>
      <c r="AY312" s="487" t="s">
        <v>337</v>
      </c>
      <c r="AZ312" s="487" t="e">
        <f>+VLOOKUP($AJ312,Data_Validation!$A:$E,5,0)</f>
        <v>#N/A</v>
      </c>
    </row>
    <row r="313" spans="36:52" ht="15" customHeight="1">
      <c r="AJ313" s="899">
        <f t="shared" si="16"/>
        <v>0</v>
      </c>
      <c r="AK313" s="899">
        <f t="shared" si="16"/>
        <v>0</v>
      </c>
      <c r="AL313" s="905">
        <f>IFERROR(INDEX(G313:R313,1,MATCH(Parametres!$B$3,G$1:R$1,0)-1)*IF(OR(F313="L",F313="S",F313="I"),-1,1),"")</f>
        <v>0</v>
      </c>
      <c r="AM313" s="905">
        <f t="shared" si="17"/>
        <v>0</v>
      </c>
      <c r="AN313" s="905">
        <f>INDEX(G313:R313,1,MATCH(Parametres!$B$3,G$1:R$1,0))*IF(OR(F313="L",F313="S",F313="I"),-1,1)</f>
        <v>0</v>
      </c>
      <c r="AO313" s="487" t="e">
        <f>+VLOOKUP($AJ313,Data_Validation!$A:$D,1,0)</f>
        <v>#N/A</v>
      </c>
      <c r="AP313" s="487" t="e">
        <f>+VLOOKUP($AJ313,Data_Validation!$A:$D,3,0)</f>
        <v>#N/A</v>
      </c>
      <c r="AQ313" s="487" t="e">
        <f>+VLOOKUP($AJ313,Data_Validation!$A:$D,4,0)</f>
        <v>#N/A</v>
      </c>
      <c r="AR313" s="487" t="s">
        <v>299</v>
      </c>
      <c r="AS313" s="487" t="e">
        <f>+VLOOKUP($AJ313,Data_Validation!$A:$E,5,0)</f>
        <v>#N/A</v>
      </c>
      <c r="AT313" s="904">
        <f t="shared" si="18"/>
        <v>0</v>
      </c>
      <c r="AU313" s="488">
        <f t="shared" si="18"/>
        <v>0</v>
      </c>
      <c r="AV313" s="899">
        <f>IFERROR(INDEX(V313:AG313,1,MATCH(Parametres!$B$3,V$1:AG$1,0)-1)*IF(OR(C313="L",C313="S",C313="I"),-1,1),"")</f>
        <v>0</v>
      </c>
      <c r="AW313" s="899">
        <f t="shared" si="19"/>
        <v>0</v>
      </c>
      <c r="AX313" s="899">
        <f>INDEX(V313:AG313,1,MATCH(Parametres!$B$3,V$1:AG$1,0))*IF(OR(C313="L",C313="S",C313="I"),-1,1)</f>
        <v>0</v>
      </c>
      <c r="AY313" s="487" t="s">
        <v>337</v>
      </c>
      <c r="AZ313" s="487" t="e">
        <f>+VLOOKUP($AJ313,Data_Validation!$A:$E,5,0)</f>
        <v>#N/A</v>
      </c>
    </row>
    <row r="314" spans="36:52" ht="15" customHeight="1">
      <c r="AJ314" s="899">
        <f t="shared" si="16"/>
        <v>0</v>
      </c>
      <c r="AK314" s="899">
        <f t="shared" si="16"/>
        <v>0</v>
      </c>
      <c r="AL314" s="905">
        <f>IFERROR(INDEX(G314:R314,1,MATCH(Parametres!$B$3,G$1:R$1,0)-1)*IF(OR(F314="L",F314="S",F314="I"),-1,1),"")</f>
        <v>0</v>
      </c>
      <c r="AM314" s="905">
        <f t="shared" si="17"/>
        <v>0</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f t="shared" si="18"/>
        <v>0</v>
      </c>
      <c r="AU314" s="488">
        <f t="shared" si="18"/>
        <v>0</v>
      </c>
      <c r="AV314" s="899">
        <f>IFERROR(INDEX(V314:AG314,1,MATCH(Parametres!$B$3,V$1:AG$1,0)-1)*IF(OR(C314="L",C314="S",C314="I"),-1,1),"")</f>
        <v>0</v>
      </c>
      <c r="AW314" s="899">
        <f t="shared" si="19"/>
        <v>0</v>
      </c>
      <c r="AX314" s="899">
        <f>INDEX(V314:AG314,1,MATCH(Parametres!$B$3,V$1:AG$1,0))*IF(OR(C314="L",C314="S",C314="I"),-1,1)</f>
        <v>0</v>
      </c>
      <c r="AY314" s="487" t="s">
        <v>337</v>
      </c>
      <c r="AZ314" s="487" t="e">
        <f>+VLOOKUP($AJ314,Data_Validation!$A:$E,5,0)</f>
        <v>#N/A</v>
      </c>
    </row>
    <row r="315" spans="36:52" ht="15" customHeight="1">
      <c r="AJ315" s="899">
        <f t="shared" si="16"/>
        <v>0</v>
      </c>
      <c r="AK315" s="899">
        <f t="shared" si="16"/>
        <v>0</v>
      </c>
      <c r="AL315" s="905">
        <f>IFERROR(INDEX(G315:R315,1,MATCH(Parametres!$B$3,G$1:R$1,0)-1)*IF(OR(F315="L",F315="S",F315="I"),-1,1),"")</f>
        <v>0</v>
      </c>
      <c r="AM315" s="905">
        <f t="shared" si="17"/>
        <v>0</v>
      </c>
      <c r="AN315" s="905">
        <f>INDEX(G315:R315,1,MATCH(Parametres!$B$3,G$1:R$1,0))*IF(OR(F315="L",F315="S",F315="I"),-1,1)</f>
        <v>0</v>
      </c>
      <c r="AO315" s="487" t="e">
        <f>+VLOOKUP($AJ315,Data_Validation!$A:$D,1,0)</f>
        <v>#N/A</v>
      </c>
      <c r="AP315" s="487" t="e">
        <f>+VLOOKUP($AJ315,Data_Validation!$A:$D,3,0)</f>
        <v>#N/A</v>
      </c>
      <c r="AQ315" s="487" t="e">
        <f>+VLOOKUP($AJ315,Data_Validation!$A:$D,4,0)</f>
        <v>#N/A</v>
      </c>
      <c r="AR315" s="487" t="s">
        <v>299</v>
      </c>
      <c r="AS315" s="487" t="e">
        <f>+VLOOKUP($AJ315,Data_Validation!$A:$E,5,0)</f>
        <v>#N/A</v>
      </c>
      <c r="AT315" s="904">
        <f t="shared" si="18"/>
        <v>0</v>
      </c>
      <c r="AU315" s="488">
        <f t="shared" si="18"/>
        <v>0</v>
      </c>
      <c r="AV315" s="899">
        <f>IFERROR(INDEX(V315:AG315,1,MATCH(Parametres!$B$3,V$1:AG$1,0)-1)*IF(OR(C315="L",C315="S",C315="I"),-1,1),"")</f>
        <v>0</v>
      </c>
      <c r="AW315" s="899">
        <f t="shared" si="19"/>
        <v>0</v>
      </c>
      <c r="AX315" s="899">
        <f>INDEX(V315:AG315,1,MATCH(Parametres!$B$3,V$1:AG$1,0))*IF(OR(C315="L",C315="S",C315="I"),-1,1)</f>
        <v>0</v>
      </c>
      <c r="AY315" s="487" t="s">
        <v>337</v>
      </c>
      <c r="AZ315" s="487" t="e">
        <f>+VLOOKUP($AJ315,Data_Validation!$A:$E,5,0)</f>
        <v>#N/A</v>
      </c>
    </row>
    <row r="316" spans="36:52" ht="15" customHeight="1">
      <c r="AJ316" s="899">
        <f t="shared" si="16"/>
        <v>0</v>
      </c>
      <c r="AK316" s="899">
        <f t="shared" si="16"/>
        <v>0</v>
      </c>
      <c r="AL316" s="905">
        <f>IFERROR(INDEX(G316:R316,1,MATCH(Parametres!$B$3,G$1:R$1,0)-1)*IF(OR(F316="L",F316="S",F316="I"),-1,1),"")</f>
        <v>0</v>
      </c>
      <c r="AM316" s="905">
        <f t="shared" si="17"/>
        <v>0</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f t="shared" si="18"/>
        <v>0</v>
      </c>
      <c r="AU316" s="488">
        <f t="shared" si="18"/>
        <v>0</v>
      </c>
      <c r="AV316" s="899">
        <f>IFERROR(INDEX(V316:AG316,1,MATCH(Parametres!$B$3,V$1:AG$1,0)-1)*IF(OR(C316="L",C316="S",C316="I"),-1,1),"")</f>
        <v>0</v>
      </c>
      <c r="AW316" s="899">
        <f t="shared" si="19"/>
        <v>0</v>
      </c>
      <c r="AX316" s="899">
        <f>INDEX(V316:AG316,1,MATCH(Parametres!$B$3,V$1:AG$1,0))*IF(OR(C316="L",C316="S",C316="I"),-1,1)</f>
        <v>0</v>
      </c>
      <c r="AY316" s="487" t="s">
        <v>337</v>
      </c>
      <c r="AZ316" s="487" t="e">
        <f>+VLOOKUP($AJ316,Data_Validation!$A:$E,5,0)</f>
        <v>#N/A</v>
      </c>
    </row>
    <row r="317" spans="36:52" ht="15" customHeight="1">
      <c r="AJ317" s="899">
        <f t="shared" si="16"/>
        <v>0</v>
      </c>
      <c r="AK317" s="899">
        <f t="shared" si="16"/>
        <v>0</v>
      </c>
      <c r="AL317" s="905">
        <f>IFERROR(INDEX(G317:R317,1,MATCH(Parametres!$B$3,G$1:R$1,0)-1)*IF(OR(F317="L",F317="S",F317="I"),-1,1),"")</f>
        <v>0</v>
      </c>
      <c r="AM317" s="905">
        <f t="shared" si="17"/>
        <v>0</v>
      </c>
      <c r="AN317" s="905">
        <f>INDEX(G317:R317,1,MATCH(Parametres!$B$3,G$1:R$1,0))*IF(OR(F317="L",F317="S",F317="I"),-1,1)</f>
        <v>0</v>
      </c>
      <c r="AO317" s="487" t="e">
        <f>+VLOOKUP($AJ317,Data_Validation!$A:$D,1,0)</f>
        <v>#N/A</v>
      </c>
      <c r="AP317" s="487" t="e">
        <f>+VLOOKUP($AJ317,Data_Validation!$A:$D,3,0)</f>
        <v>#N/A</v>
      </c>
      <c r="AQ317" s="487" t="e">
        <f>+VLOOKUP($AJ317,Data_Validation!$A:$D,4,0)</f>
        <v>#N/A</v>
      </c>
      <c r="AR317" s="487" t="s">
        <v>299</v>
      </c>
      <c r="AS317" s="487" t="e">
        <f>+VLOOKUP($AJ317,Data_Validation!$A:$E,5,0)</f>
        <v>#N/A</v>
      </c>
      <c r="AT317" s="904">
        <f t="shared" si="18"/>
        <v>0</v>
      </c>
      <c r="AU317" s="488">
        <f t="shared" si="18"/>
        <v>0</v>
      </c>
      <c r="AV317" s="899">
        <f>IFERROR(INDEX(V317:AG317,1,MATCH(Parametres!$B$3,V$1:AG$1,0)-1)*IF(OR(C317="L",C317="S",C317="I"),-1,1),"")</f>
        <v>0</v>
      </c>
      <c r="AW317" s="899">
        <f t="shared" si="19"/>
        <v>0</v>
      </c>
      <c r="AX317" s="899">
        <f>INDEX(V317:AG317,1,MATCH(Parametres!$B$3,V$1:AG$1,0))*IF(OR(C317="L",C317="S",C317="I"),-1,1)</f>
        <v>0</v>
      </c>
      <c r="AY317" s="487" t="s">
        <v>337</v>
      </c>
      <c r="AZ317" s="487" t="e">
        <f>+VLOOKUP($AJ317,Data_Validation!$A:$E,5,0)</f>
        <v>#N/A</v>
      </c>
    </row>
    <row r="318" spans="36:52" ht="15.75" customHeight="1">
      <c r="AJ318" s="899">
        <f t="shared" si="16"/>
        <v>0</v>
      </c>
      <c r="AK318" s="899">
        <f t="shared" si="16"/>
        <v>0</v>
      </c>
      <c r="AL318" s="905">
        <f>IFERROR(INDEX(G318:R318,1,MATCH(Parametres!$B$3,G$1:R$1,0)-1)*IF(OR(F318="L",F318="S",F318="I"),-1,1),"")</f>
        <v>0</v>
      </c>
      <c r="AM318" s="905">
        <f t="shared" si="17"/>
        <v>0</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f t="shared" si="18"/>
        <v>0</v>
      </c>
      <c r="AU318" s="488">
        <f t="shared" si="18"/>
        <v>0</v>
      </c>
      <c r="AV318" s="899">
        <f>IFERROR(INDEX(V318:AG318,1,MATCH(Parametres!$B$3,V$1:AG$1,0)-1)*IF(OR(C318="L",C318="S",C318="I"),-1,1),"")</f>
        <v>0</v>
      </c>
      <c r="AW318" s="899">
        <f t="shared" si="19"/>
        <v>0</v>
      </c>
      <c r="AX318" s="899">
        <f>INDEX(V318:AG318,1,MATCH(Parametres!$B$3,V$1:AG$1,0))*IF(OR(C318="L",C318="S",C318="I"),-1,1)</f>
        <v>0</v>
      </c>
      <c r="AY318" s="487" t="s">
        <v>337</v>
      </c>
      <c r="AZ318" s="487" t="e">
        <f>+VLOOKUP($AJ318,Data_Validation!$A:$E,5,0)</f>
        <v>#N/A</v>
      </c>
    </row>
    <row r="319" spans="36:52" ht="15" customHeight="1">
      <c r="AJ319" s="899">
        <f t="shared" si="16"/>
        <v>0</v>
      </c>
      <c r="AK319" s="899">
        <f t="shared" si="16"/>
        <v>0</v>
      </c>
      <c r="AL319" s="905">
        <f>IFERROR(INDEX(G319:R319,1,MATCH(Parametres!$B$3,G$1:R$1,0)-1)*IF(OR(F319="L",F319="S",F319="I"),-1,1),"")</f>
        <v>0</v>
      </c>
      <c r="AM319" s="905">
        <f t="shared" si="17"/>
        <v>0</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f t="shared" si="18"/>
        <v>0</v>
      </c>
      <c r="AU319" s="488">
        <f t="shared" si="18"/>
        <v>0</v>
      </c>
      <c r="AV319" s="899">
        <f>IFERROR(INDEX(V319:AG319,1,MATCH(Parametres!$B$3,V$1:AG$1,0)-1)*IF(OR(C319="L",C319="S",C319="I"),-1,1),"")</f>
        <v>0</v>
      </c>
      <c r="AW319" s="899">
        <f t="shared" si="19"/>
        <v>0</v>
      </c>
      <c r="AX319" s="899">
        <f>INDEX(V319:AG319,1,MATCH(Parametres!$B$3,V$1:AG$1,0))*IF(OR(C319="L",C319="S",C319="I"),-1,1)</f>
        <v>0</v>
      </c>
      <c r="AY319" s="487" t="s">
        <v>337</v>
      </c>
      <c r="AZ319" s="487" t="e">
        <f>+VLOOKUP($AJ319,Data_Validation!$A:$E,5,0)</f>
        <v>#N/A</v>
      </c>
    </row>
    <row r="320" spans="36:52" ht="15" customHeight="1">
      <c r="AJ320" s="899">
        <f t="shared" si="16"/>
        <v>0</v>
      </c>
      <c r="AK320" s="899">
        <f t="shared" si="16"/>
        <v>0</v>
      </c>
      <c r="AL320" s="905">
        <f>IFERROR(INDEX(G320:R320,1,MATCH(Parametres!$B$3,G$1:R$1,0)-1)*IF(OR(F320="L",F320="S",F320="I"),-1,1),"")</f>
        <v>0</v>
      </c>
      <c r="AM320" s="905">
        <f t="shared" si="17"/>
        <v>0</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f t="shared" si="18"/>
        <v>0</v>
      </c>
      <c r="AU320" s="488">
        <f t="shared" si="18"/>
        <v>0</v>
      </c>
      <c r="AV320" s="899">
        <f>IFERROR(INDEX(V320:AG320,1,MATCH(Parametres!$B$3,V$1:AG$1,0)-1)*IF(OR(C320="L",C320="S",C320="I"),-1,1),"")</f>
        <v>0</v>
      </c>
      <c r="AW320" s="899">
        <f t="shared" si="19"/>
        <v>0</v>
      </c>
      <c r="AX320" s="899">
        <f>INDEX(V320:AG320,1,MATCH(Parametres!$B$3,V$1:AG$1,0))*IF(OR(C320="L",C320="S",C320="I"),-1,1)</f>
        <v>0</v>
      </c>
      <c r="AY320" s="487" t="s">
        <v>337</v>
      </c>
      <c r="AZ320" s="487" t="e">
        <f>+VLOOKUP($AJ320,Data_Validation!$A:$E,5,0)</f>
        <v>#N/A</v>
      </c>
    </row>
    <row r="321" spans="36:52" ht="15" customHeight="1">
      <c r="AJ321" s="899">
        <f t="shared" si="16"/>
        <v>0</v>
      </c>
      <c r="AK321" s="899">
        <f t="shared" si="16"/>
        <v>0</v>
      </c>
      <c r="AL321" s="905">
        <f>IFERROR(INDEX(G321:R321,1,MATCH(Parametres!$B$3,G$1:R$1,0)-1)*IF(OR(F321="L",F321="S",F321="I"),-1,1),"")</f>
        <v>0</v>
      </c>
      <c r="AM321" s="905">
        <f t="shared" si="17"/>
        <v>0</v>
      </c>
      <c r="AN321" s="905">
        <f>INDEX(G321:R321,1,MATCH(Parametres!$B$3,G$1:R$1,0))*IF(OR(F321="L",F321="S",F321="I"),-1,1)</f>
        <v>0</v>
      </c>
      <c r="AO321" s="487" t="e">
        <f>+VLOOKUP($AJ321,Data_Validation!$A:$D,1,0)</f>
        <v>#N/A</v>
      </c>
      <c r="AP321" s="487" t="e">
        <f>+VLOOKUP($AJ321,Data_Validation!$A:$D,3,0)</f>
        <v>#N/A</v>
      </c>
      <c r="AQ321" s="487" t="e">
        <f>+VLOOKUP($AJ321,Data_Validation!$A:$D,4,0)</f>
        <v>#N/A</v>
      </c>
      <c r="AR321" s="487" t="s">
        <v>299</v>
      </c>
      <c r="AS321" s="487" t="e">
        <f>+VLOOKUP($AJ321,Data_Validation!$A:$E,5,0)</f>
        <v>#N/A</v>
      </c>
      <c r="AT321" s="904">
        <f t="shared" si="18"/>
        <v>0</v>
      </c>
      <c r="AU321" s="488">
        <f t="shared" si="18"/>
        <v>0</v>
      </c>
      <c r="AV321" s="899">
        <f>IFERROR(INDEX(V321:AG321,1,MATCH(Parametres!$B$3,V$1:AG$1,0)-1)*IF(OR(C321="L",C321="S",C321="I"),-1,1),"")</f>
        <v>0</v>
      </c>
      <c r="AW321" s="899">
        <f t="shared" si="19"/>
        <v>0</v>
      </c>
      <c r="AX321" s="899">
        <f>INDEX(V321:AG321,1,MATCH(Parametres!$B$3,V$1:AG$1,0))*IF(OR(C321="L",C321="S",C321="I"),-1,1)</f>
        <v>0</v>
      </c>
      <c r="AY321" s="487" t="s">
        <v>337</v>
      </c>
      <c r="AZ321" s="487" t="e">
        <f>+VLOOKUP($AJ321,Data_Validation!$A:$E,5,0)</f>
        <v>#N/A</v>
      </c>
    </row>
    <row r="322" spans="36:52" ht="15.75" customHeight="1">
      <c r="AJ322" s="899">
        <f t="shared" si="16"/>
        <v>0</v>
      </c>
      <c r="AK322" s="899">
        <f t="shared" si="16"/>
        <v>0</v>
      </c>
      <c r="AL322" s="905">
        <f>IFERROR(INDEX(G322:R322,1,MATCH(Parametres!$B$3,G$1:R$1,0)-1)*IF(OR(F322="L",F322="S",F322="I"),-1,1),"")</f>
        <v>0</v>
      </c>
      <c r="AM322" s="905">
        <f t="shared" si="17"/>
        <v>0</v>
      </c>
      <c r="AN322" s="905">
        <f>INDEX(G322:R322,1,MATCH(Parametres!$B$3,G$1:R$1,0))*IF(OR(F322="L",F322="S",F322="I"),-1,1)</f>
        <v>0</v>
      </c>
      <c r="AO322" s="487" t="e">
        <f>+VLOOKUP($AJ322,Data_Validation!$A:$D,1,0)</f>
        <v>#N/A</v>
      </c>
      <c r="AP322" s="487" t="e">
        <f>+VLOOKUP($AJ322,Data_Validation!$A:$D,3,0)</f>
        <v>#N/A</v>
      </c>
      <c r="AQ322" s="487" t="e">
        <f>+VLOOKUP($AJ322,Data_Validation!$A:$D,4,0)</f>
        <v>#N/A</v>
      </c>
      <c r="AR322" s="487" t="s">
        <v>299</v>
      </c>
      <c r="AS322" s="487" t="e">
        <f>+VLOOKUP($AJ322,Data_Validation!$A:$E,5,0)</f>
        <v>#N/A</v>
      </c>
      <c r="AT322" s="904">
        <f t="shared" si="18"/>
        <v>0</v>
      </c>
      <c r="AU322" s="488">
        <f t="shared" si="18"/>
        <v>0</v>
      </c>
      <c r="AV322" s="899">
        <f>IFERROR(INDEX(V322:AG322,1,MATCH(Parametres!$B$3,V$1:AG$1,0)-1)*IF(OR(C322="L",C322="S",C322="I"),-1,1),"")</f>
        <v>0</v>
      </c>
      <c r="AW322" s="899">
        <f t="shared" si="19"/>
        <v>0</v>
      </c>
      <c r="AX322" s="899">
        <f>INDEX(V322:AG322,1,MATCH(Parametres!$B$3,V$1:AG$1,0))*IF(OR(C322="L",C322="S",C322="I"),-1,1)</f>
        <v>0</v>
      </c>
      <c r="AY322" s="487" t="s">
        <v>337</v>
      </c>
      <c r="AZ322" s="487" t="e">
        <f>+VLOOKUP($AJ322,Data_Validation!$A:$E,5,0)</f>
        <v>#N/A</v>
      </c>
    </row>
    <row r="323" spans="36:52" ht="15" customHeight="1">
      <c r="AJ323" s="899">
        <f t="shared" si="16"/>
        <v>0</v>
      </c>
      <c r="AK323" s="899">
        <f t="shared" si="16"/>
        <v>0</v>
      </c>
      <c r="AL323" s="905">
        <f>IFERROR(INDEX(G323:R323,1,MATCH(Parametres!$B$3,G$1:R$1,0)-1)*IF(OR(F323="L",F323="S",F323="I"),-1,1),"")</f>
        <v>0</v>
      </c>
      <c r="AM323" s="905">
        <f t="shared" si="17"/>
        <v>0</v>
      </c>
      <c r="AN323" s="905">
        <f>INDEX(G323:R323,1,MATCH(Parametres!$B$3,G$1:R$1,0))*IF(OR(F323="L",F323="S",F323="I"),-1,1)</f>
        <v>0</v>
      </c>
      <c r="AO323" s="487" t="e">
        <f>+VLOOKUP($AJ323,Data_Validation!$A:$D,1,0)</f>
        <v>#N/A</v>
      </c>
      <c r="AP323" s="487" t="e">
        <f>+VLOOKUP($AJ323,Data_Validation!$A:$D,3,0)</f>
        <v>#N/A</v>
      </c>
      <c r="AQ323" s="487" t="e">
        <f>+VLOOKUP($AJ323,Data_Validation!$A:$D,4,0)</f>
        <v>#N/A</v>
      </c>
      <c r="AR323" s="487" t="s">
        <v>299</v>
      </c>
      <c r="AS323" s="487" t="e">
        <f>+VLOOKUP($AJ323,Data_Validation!$A:$E,5,0)</f>
        <v>#N/A</v>
      </c>
      <c r="AT323" s="904">
        <f t="shared" si="18"/>
        <v>0</v>
      </c>
      <c r="AU323" s="488">
        <f t="shared" si="18"/>
        <v>0</v>
      </c>
      <c r="AV323" s="899">
        <f>IFERROR(INDEX(V323:AG323,1,MATCH(Parametres!$B$3,V$1:AG$1,0)-1)*IF(OR(C323="L",C323="S",C323="I"),-1,1),"")</f>
        <v>0</v>
      </c>
      <c r="AW323" s="899">
        <f t="shared" si="19"/>
        <v>0</v>
      </c>
      <c r="AX323" s="899">
        <f>INDEX(V323:AG323,1,MATCH(Parametres!$B$3,V$1:AG$1,0))*IF(OR(C323="L",C323="S",C323="I"),-1,1)</f>
        <v>0</v>
      </c>
      <c r="AY323" s="487" t="s">
        <v>337</v>
      </c>
      <c r="AZ323" s="487" t="e">
        <f>+VLOOKUP($AJ323,Data_Validation!$A:$E,5,0)</f>
        <v>#N/A</v>
      </c>
    </row>
    <row r="324" spans="36:52" ht="15" customHeight="1">
      <c r="AJ324" s="899">
        <f t="shared" ref="AJ324:AK387" si="20">C324</f>
        <v>0</v>
      </c>
      <c r="AK324" s="899">
        <f t="shared" si="20"/>
        <v>0</v>
      </c>
      <c r="AL324" s="905">
        <f>IFERROR(INDEX(G324:R324,1,MATCH(Parametres!$B$3,G$1:R$1,0)-1)*IF(OR(F324="L",F324="S",F324="I"),-1,1),"")</f>
        <v>0</v>
      </c>
      <c r="AM324" s="905">
        <f t="shared" ref="AM324:AM387" si="21">AN324-AL324</f>
        <v>0</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f t="shared" ref="AT324:AU387" si="22">C324</f>
        <v>0</v>
      </c>
      <c r="AU324" s="488">
        <f t="shared" si="22"/>
        <v>0</v>
      </c>
      <c r="AV324" s="899">
        <f>IFERROR(INDEX(V324:AG324,1,MATCH(Parametres!$B$3,V$1:AG$1,0)-1)*IF(OR(C324="L",C324="S",C324="I"),-1,1),"")</f>
        <v>0</v>
      </c>
      <c r="AW324" s="899">
        <f t="shared" ref="AW324:AW387" si="23">AX324-AV324</f>
        <v>0</v>
      </c>
      <c r="AX324" s="899">
        <f>INDEX(V324:AG324,1,MATCH(Parametres!$B$3,V$1:AG$1,0))*IF(OR(C324="L",C324="S",C324="I"),-1,1)</f>
        <v>0</v>
      </c>
      <c r="AY324" s="487" t="s">
        <v>337</v>
      </c>
      <c r="AZ324" s="487" t="e">
        <f>+VLOOKUP($AJ324,Data_Validation!$A:$E,5,0)</f>
        <v>#N/A</v>
      </c>
    </row>
    <row r="325" spans="36:52" ht="15" customHeight="1">
      <c r="AJ325" s="899">
        <f t="shared" si="20"/>
        <v>0</v>
      </c>
      <c r="AK325" s="899">
        <f t="shared" si="20"/>
        <v>0</v>
      </c>
      <c r="AL325" s="905">
        <f>IFERROR(INDEX(G325:R325,1,MATCH(Parametres!$B$3,G$1:R$1,0)-1)*IF(OR(F325="L",F325="S",F325="I"),-1,1),"")</f>
        <v>0</v>
      </c>
      <c r="AM325" s="905">
        <f t="shared" si="21"/>
        <v>0</v>
      </c>
      <c r="AN325" s="905">
        <f>INDEX(G325:R325,1,MATCH(Parametres!$B$3,G$1:R$1,0))*IF(OR(F325="L",F325="S",F325="I"),-1,1)</f>
        <v>0</v>
      </c>
      <c r="AO325" s="487" t="e">
        <f>+VLOOKUP($AJ325,Data_Validation!$A:$D,1,0)</f>
        <v>#N/A</v>
      </c>
      <c r="AP325" s="487" t="e">
        <f>+VLOOKUP($AJ325,Data_Validation!$A:$D,3,0)</f>
        <v>#N/A</v>
      </c>
      <c r="AQ325" s="487" t="e">
        <f>+VLOOKUP($AJ325,Data_Validation!$A:$D,4,0)</f>
        <v>#N/A</v>
      </c>
      <c r="AR325" s="487" t="s">
        <v>299</v>
      </c>
      <c r="AS325" s="487" t="e">
        <f>+VLOOKUP($AJ325,Data_Validation!$A:$E,5,0)</f>
        <v>#N/A</v>
      </c>
      <c r="AT325" s="904">
        <f t="shared" si="22"/>
        <v>0</v>
      </c>
      <c r="AU325" s="488">
        <f t="shared" si="22"/>
        <v>0</v>
      </c>
      <c r="AV325" s="899">
        <f>IFERROR(INDEX(V325:AG325,1,MATCH(Parametres!$B$3,V$1:AG$1,0)-1)*IF(OR(C325="L",C325="S",C325="I"),-1,1),"")</f>
        <v>0</v>
      </c>
      <c r="AW325" s="899">
        <f t="shared" si="23"/>
        <v>0</v>
      </c>
      <c r="AX325" s="899">
        <f>INDEX(V325:AG325,1,MATCH(Parametres!$B$3,V$1:AG$1,0))*IF(OR(C325="L",C325="S",C325="I"),-1,1)</f>
        <v>0</v>
      </c>
      <c r="AY325" s="487" t="s">
        <v>337</v>
      </c>
      <c r="AZ325" s="487" t="e">
        <f>+VLOOKUP($AJ325,Data_Validation!$A:$E,5,0)</f>
        <v>#N/A</v>
      </c>
    </row>
    <row r="326" spans="36:52" ht="15" customHeight="1">
      <c r="AJ326" s="899">
        <f t="shared" si="20"/>
        <v>0</v>
      </c>
      <c r="AK326" s="899">
        <f t="shared" si="20"/>
        <v>0</v>
      </c>
      <c r="AL326" s="905">
        <f>IFERROR(INDEX(G326:R326,1,MATCH(Parametres!$B$3,G$1:R$1,0)-1)*IF(OR(F326="L",F326="S",F326="I"),-1,1),"")</f>
        <v>0</v>
      </c>
      <c r="AM326" s="905">
        <f t="shared" si="21"/>
        <v>0</v>
      </c>
      <c r="AN326" s="905">
        <f>INDEX(G326:R326,1,MATCH(Parametres!$B$3,G$1:R$1,0))*IF(OR(F326="L",F326="S",F326="I"),-1,1)</f>
        <v>0</v>
      </c>
      <c r="AO326" s="487" t="e">
        <f>+VLOOKUP($AJ326,Data_Validation!$A:$D,1,0)</f>
        <v>#N/A</v>
      </c>
      <c r="AP326" s="487" t="e">
        <f>+VLOOKUP($AJ326,Data_Validation!$A:$D,3,0)</f>
        <v>#N/A</v>
      </c>
      <c r="AQ326" s="487" t="e">
        <f>+VLOOKUP($AJ326,Data_Validation!$A:$D,4,0)</f>
        <v>#N/A</v>
      </c>
      <c r="AR326" s="487" t="s">
        <v>299</v>
      </c>
      <c r="AS326" s="487" t="e">
        <f>+VLOOKUP($AJ326,Data_Validation!$A:$E,5,0)</f>
        <v>#N/A</v>
      </c>
      <c r="AT326" s="904">
        <f t="shared" si="22"/>
        <v>0</v>
      </c>
      <c r="AU326" s="488">
        <f t="shared" si="22"/>
        <v>0</v>
      </c>
      <c r="AV326" s="899">
        <f>IFERROR(INDEX(V326:AG326,1,MATCH(Parametres!$B$3,V$1:AG$1,0)-1)*IF(OR(C326="L",C326="S",C326="I"),-1,1),"")</f>
        <v>0</v>
      </c>
      <c r="AW326" s="899">
        <f t="shared" si="23"/>
        <v>0</v>
      </c>
      <c r="AX326" s="899">
        <f>INDEX(V326:AG326,1,MATCH(Parametres!$B$3,V$1:AG$1,0))*IF(OR(C326="L",C326="S",C326="I"),-1,1)</f>
        <v>0</v>
      </c>
      <c r="AY326" s="487" t="s">
        <v>337</v>
      </c>
      <c r="AZ326" s="487" t="e">
        <f>+VLOOKUP($AJ326,Data_Validation!$A:$E,5,0)</f>
        <v>#N/A</v>
      </c>
    </row>
    <row r="327" spans="36:52" ht="15.75" customHeight="1">
      <c r="AJ327" s="899">
        <f t="shared" si="20"/>
        <v>0</v>
      </c>
      <c r="AK327" s="899">
        <f t="shared" si="20"/>
        <v>0</v>
      </c>
      <c r="AL327" s="905">
        <f>IFERROR(INDEX(G327:R327,1,MATCH(Parametres!$B$3,G$1:R$1,0)-1)*IF(OR(F327="L",F327="S",F327="I"),-1,1),"")</f>
        <v>0</v>
      </c>
      <c r="AM327" s="905">
        <f t="shared" si="21"/>
        <v>0</v>
      </c>
      <c r="AN327" s="905">
        <f>INDEX(G327:R327,1,MATCH(Parametres!$B$3,G$1:R$1,0))*IF(OR(F327="L",F327="S",F327="I"),-1,1)</f>
        <v>0</v>
      </c>
      <c r="AO327" s="487" t="e">
        <f>+VLOOKUP($AJ327,Data_Validation!$A:$D,1,0)</f>
        <v>#N/A</v>
      </c>
      <c r="AP327" s="487" t="e">
        <f>+VLOOKUP($AJ327,Data_Validation!$A:$D,3,0)</f>
        <v>#N/A</v>
      </c>
      <c r="AQ327" s="487" t="e">
        <f>+VLOOKUP($AJ327,Data_Validation!$A:$D,4,0)</f>
        <v>#N/A</v>
      </c>
      <c r="AR327" s="487" t="s">
        <v>299</v>
      </c>
      <c r="AS327" s="487" t="e">
        <f>+VLOOKUP($AJ327,Data_Validation!$A:$E,5,0)</f>
        <v>#N/A</v>
      </c>
      <c r="AT327" s="904">
        <f t="shared" si="22"/>
        <v>0</v>
      </c>
      <c r="AU327" s="488">
        <f t="shared" si="22"/>
        <v>0</v>
      </c>
      <c r="AV327" s="899">
        <f>IFERROR(INDEX(V327:AG327,1,MATCH(Parametres!$B$3,V$1:AG$1,0)-1)*IF(OR(C327="L",C327="S",C327="I"),-1,1),"")</f>
        <v>0</v>
      </c>
      <c r="AW327" s="899">
        <f t="shared" si="23"/>
        <v>0</v>
      </c>
      <c r="AX327" s="899">
        <f>INDEX(V327:AG327,1,MATCH(Parametres!$B$3,V$1:AG$1,0))*IF(OR(C327="L",C327="S",C327="I"),-1,1)</f>
        <v>0</v>
      </c>
      <c r="AY327" s="487" t="s">
        <v>337</v>
      </c>
      <c r="AZ327" s="487" t="e">
        <f>+VLOOKUP($AJ327,Data_Validation!$A:$E,5,0)</f>
        <v>#N/A</v>
      </c>
    </row>
    <row r="328" spans="36:52" ht="15" customHeight="1">
      <c r="AJ328" s="899">
        <f t="shared" si="20"/>
        <v>0</v>
      </c>
      <c r="AK328" s="899">
        <f t="shared" si="20"/>
        <v>0</v>
      </c>
      <c r="AL328" s="905">
        <f>IFERROR(INDEX(G328:R328,1,MATCH(Parametres!$B$3,G$1:R$1,0)-1)*IF(OR(F328="L",F328="S",F328="I"),-1,1),"")</f>
        <v>0</v>
      </c>
      <c r="AM328" s="905">
        <f t="shared" si="21"/>
        <v>0</v>
      </c>
      <c r="AN328" s="905">
        <f>INDEX(G328:R328,1,MATCH(Parametres!$B$3,G$1:R$1,0))*IF(OR(F328="L",F328="S",F328="I"),-1,1)</f>
        <v>0</v>
      </c>
      <c r="AO328" s="487" t="e">
        <f>+VLOOKUP($AJ328,Data_Validation!$A:$D,1,0)</f>
        <v>#N/A</v>
      </c>
      <c r="AP328" s="487" t="e">
        <f>+VLOOKUP($AJ328,Data_Validation!$A:$D,3,0)</f>
        <v>#N/A</v>
      </c>
      <c r="AQ328" s="487" t="e">
        <f>+VLOOKUP($AJ328,Data_Validation!$A:$D,4,0)</f>
        <v>#N/A</v>
      </c>
      <c r="AR328" s="487" t="s">
        <v>299</v>
      </c>
      <c r="AS328" s="487" t="e">
        <f>+VLOOKUP($AJ328,Data_Validation!$A:$E,5,0)</f>
        <v>#N/A</v>
      </c>
      <c r="AT328" s="904">
        <f t="shared" si="22"/>
        <v>0</v>
      </c>
      <c r="AU328" s="488">
        <f t="shared" si="22"/>
        <v>0</v>
      </c>
      <c r="AV328" s="899">
        <f>IFERROR(INDEX(V328:AG328,1,MATCH(Parametres!$B$3,V$1:AG$1,0)-1)*IF(OR(C328="L",C328="S",C328="I"),-1,1),"")</f>
        <v>0</v>
      </c>
      <c r="AW328" s="899">
        <f t="shared" si="23"/>
        <v>0</v>
      </c>
      <c r="AX328" s="899">
        <f>INDEX(V328:AG328,1,MATCH(Parametres!$B$3,V$1:AG$1,0))*IF(OR(C328="L",C328="S",C328="I"),-1,1)</f>
        <v>0</v>
      </c>
      <c r="AY328" s="487" t="s">
        <v>337</v>
      </c>
      <c r="AZ328" s="487" t="e">
        <f>+VLOOKUP($AJ328,Data_Validation!$A:$E,5,0)</f>
        <v>#N/A</v>
      </c>
    </row>
    <row r="329" spans="36:52" ht="15" customHeight="1">
      <c r="AJ329" s="899">
        <f t="shared" si="20"/>
        <v>0</v>
      </c>
      <c r="AK329" s="899">
        <f t="shared" si="20"/>
        <v>0</v>
      </c>
      <c r="AL329" s="905">
        <f>IFERROR(INDEX(G329:R329,1,MATCH(Parametres!$B$3,G$1:R$1,0)-1)*IF(OR(F329="L",F329="S",F329="I"),-1,1),"")</f>
        <v>0</v>
      </c>
      <c r="AM329" s="905">
        <f t="shared" si="21"/>
        <v>0</v>
      </c>
      <c r="AN329" s="905">
        <f>INDEX(G329:R329,1,MATCH(Parametres!$B$3,G$1:R$1,0))*IF(OR(F329="L",F329="S",F329="I"),-1,1)</f>
        <v>0</v>
      </c>
      <c r="AO329" s="487" t="e">
        <f>+VLOOKUP($AJ329,Data_Validation!$A:$D,1,0)</f>
        <v>#N/A</v>
      </c>
      <c r="AP329" s="487" t="e">
        <f>+VLOOKUP($AJ329,Data_Validation!$A:$D,3,0)</f>
        <v>#N/A</v>
      </c>
      <c r="AQ329" s="487" t="e">
        <f>+VLOOKUP($AJ329,Data_Validation!$A:$D,4,0)</f>
        <v>#N/A</v>
      </c>
      <c r="AR329" s="487" t="s">
        <v>299</v>
      </c>
      <c r="AS329" s="487" t="e">
        <f>+VLOOKUP($AJ329,Data_Validation!$A:$E,5,0)</f>
        <v>#N/A</v>
      </c>
      <c r="AT329" s="904">
        <f t="shared" si="22"/>
        <v>0</v>
      </c>
      <c r="AU329" s="488">
        <f t="shared" si="22"/>
        <v>0</v>
      </c>
      <c r="AV329" s="899">
        <f>IFERROR(INDEX(V329:AG329,1,MATCH(Parametres!$B$3,V$1:AG$1,0)-1)*IF(OR(C329="L",C329="S",C329="I"),-1,1),"")</f>
        <v>0</v>
      </c>
      <c r="AW329" s="899">
        <f t="shared" si="23"/>
        <v>0</v>
      </c>
      <c r="AX329" s="899">
        <f>INDEX(V329:AG329,1,MATCH(Parametres!$B$3,V$1:AG$1,0))*IF(OR(C329="L",C329="S",C329="I"),-1,1)</f>
        <v>0</v>
      </c>
      <c r="AY329" s="487" t="s">
        <v>337</v>
      </c>
      <c r="AZ329" s="487" t="e">
        <f>+VLOOKUP($AJ329,Data_Validation!$A:$E,5,0)</f>
        <v>#N/A</v>
      </c>
    </row>
    <row r="330" spans="36:52" ht="15" customHeight="1">
      <c r="AJ330" s="899">
        <f t="shared" si="20"/>
        <v>0</v>
      </c>
      <c r="AK330" s="899">
        <f t="shared" si="20"/>
        <v>0</v>
      </c>
      <c r="AL330" s="905">
        <f>IFERROR(INDEX(G330:R330,1,MATCH(Parametres!$B$3,G$1:R$1,0)-1)*IF(OR(F330="L",F330="S",F330="I"),-1,1),"")</f>
        <v>0</v>
      </c>
      <c r="AM330" s="905">
        <f t="shared" si="21"/>
        <v>0</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f t="shared" si="22"/>
        <v>0</v>
      </c>
      <c r="AU330" s="488">
        <f t="shared" si="22"/>
        <v>0</v>
      </c>
      <c r="AV330" s="899">
        <f>IFERROR(INDEX(V330:AG330,1,MATCH(Parametres!$B$3,V$1:AG$1,0)-1)*IF(OR(C330="L",C330="S",C330="I"),-1,1),"")</f>
        <v>0</v>
      </c>
      <c r="AW330" s="899">
        <f t="shared" si="23"/>
        <v>0</v>
      </c>
      <c r="AX330" s="899">
        <f>INDEX(V330:AG330,1,MATCH(Parametres!$B$3,V$1:AG$1,0))*IF(OR(C330="L",C330="S",C330="I"),-1,1)</f>
        <v>0</v>
      </c>
      <c r="AY330" s="487" t="s">
        <v>337</v>
      </c>
      <c r="AZ330" s="487" t="e">
        <f>+VLOOKUP($AJ330,Data_Validation!$A:$E,5,0)</f>
        <v>#N/A</v>
      </c>
    </row>
    <row r="331" spans="36:52" ht="15" customHeight="1">
      <c r="AJ331" s="899">
        <f t="shared" si="20"/>
        <v>0</v>
      </c>
      <c r="AK331" s="899">
        <f t="shared" si="20"/>
        <v>0</v>
      </c>
      <c r="AL331" s="905">
        <f>IFERROR(INDEX(G331:R331,1,MATCH(Parametres!$B$3,G$1:R$1,0)-1)*IF(OR(F331="L",F331="S",F331="I"),-1,1),"")</f>
        <v>0</v>
      </c>
      <c r="AM331" s="905">
        <f t="shared" si="21"/>
        <v>0</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f t="shared" si="22"/>
        <v>0</v>
      </c>
      <c r="AU331" s="488">
        <f t="shared" si="22"/>
        <v>0</v>
      </c>
      <c r="AV331" s="899">
        <f>IFERROR(INDEX(V331:AG331,1,MATCH(Parametres!$B$3,V$1:AG$1,0)-1)*IF(OR(C331="L",C331="S",C331="I"),-1,1),"")</f>
        <v>0</v>
      </c>
      <c r="AW331" s="899">
        <f t="shared" si="23"/>
        <v>0</v>
      </c>
      <c r="AX331" s="899">
        <f>INDEX(V331:AG331,1,MATCH(Parametres!$B$3,V$1:AG$1,0))*IF(OR(C331="L",C331="S",C331="I"),-1,1)</f>
        <v>0</v>
      </c>
      <c r="AY331" s="487" t="s">
        <v>337</v>
      </c>
      <c r="AZ331" s="487" t="e">
        <f>+VLOOKUP($AJ331,Data_Validation!$A:$E,5,0)</f>
        <v>#N/A</v>
      </c>
    </row>
    <row r="332" spans="36:52" ht="15" customHeight="1">
      <c r="AJ332" s="899">
        <f t="shared" si="20"/>
        <v>0</v>
      </c>
      <c r="AK332" s="899">
        <f t="shared" si="20"/>
        <v>0</v>
      </c>
      <c r="AL332" s="905">
        <f>IFERROR(INDEX(G332:R332,1,MATCH(Parametres!$B$3,G$1:R$1,0)-1)*IF(OR(F332="L",F332="S",F332="I"),-1,1),"")</f>
        <v>0</v>
      </c>
      <c r="AM332" s="905">
        <f t="shared" si="21"/>
        <v>0</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f t="shared" si="22"/>
        <v>0</v>
      </c>
      <c r="AU332" s="488">
        <f t="shared" si="22"/>
        <v>0</v>
      </c>
      <c r="AV332" s="899">
        <f>IFERROR(INDEX(V332:AG332,1,MATCH(Parametres!$B$3,V$1:AG$1,0)-1)*IF(OR(C332="L",C332="S",C332="I"),-1,1),"")</f>
        <v>0</v>
      </c>
      <c r="AW332" s="899">
        <f t="shared" si="23"/>
        <v>0</v>
      </c>
      <c r="AX332" s="899">
        <f>INDEX(V332:AG332,1,MATCH(Parametres!$B$3,V$1:AG$1,0))*IF(OR(C332="L",C332="S",C332="I"),-1,1)</f>
        <v>0</v>
      </c>
      <c r="AY332" s="487" t="s">
        <v>337</v>
      </c>
      <c r="AZ332" s="487" t="e">
        <f>+VLOOKUP($AJ332,Data_Validation!$A:$E,5,0)</f>
        <v>#N/A</v>
      </c>
    </row>
    <row r="333" spans="36:52" ht="15.75" customHeight="1">
      <c r="AJ333" s="899">
        <f t="shared" si="20"/>
        <v>0</v>
      </c>
      <c r="AK333" s="899">
        <f t="shared" si="20"/>
        <v>0</v>
      </c>
      <c r="AL333" s="905">
        <f>IFERROR(INDEX(G333:R333,1,MATCH(Parametres!$B$3,G$1:R$1,0)-1)*IF(OR(F333="L",F333="S",F333="I"),-1,1),"")</f>
        <v>0</v>
      </c>
      <c r="AM333" s="905">
        <f t="shared" si="21"/>
        <v>0</v>
      </c>
      <c r="AN333" s="905">
        <f>INDEX(G333:R333,1,MATCH(Parametres!$B$3,G$1:R$1,0))*IF(OR(F333="L",F333="S",F333="I"),-1,1)</f>
        <v>0</v>
      </c>
      <c r="AO333" s="487" t="e">
        <f>+VLOOKUP($AJ333,Data_Validation!$A:$D,1,0)</f>
        <v>#N/A</v>
      </c>
      <c r="AP333" s="487" t="e">
        <f>+VLOOKUP($AJ333,Data_Validation!$A:$D,3,0)</f>
        <v>#N/A</v>
      </c>
      <c r="AQ333" s="487" t="e">
        <f>+VLOOKUP($AJ333,Data_Validation!$A:$D,4,0)</f>
        <v>#N/A</v>
      </c>
      <c r="AR333" s="487" t="s">
        <v>299</v>
      </c>
      <c r="AS333" s="487" t="e">
        <f>+VLOOKUP($AJ333,Data_Validation!$A:$E,5,0)</f>
        <v>#N/A</v>
      </c>
      <c r="AT333" s="904">
        <f t="shared" si="22"/>
        <v>0</v>
      </c>
      <c r="AU333" s="488">
        <f t="shared" si="22"/>
        <v>0</v>
      </c>
      <c r="AV333" s="899">
        <f>IFERROR(INDEX(V333:AG333,1,MATCH(Parametres!$B$3,V$1:AG$1,0)-1)*IF(OR(C333="L",C333="S",C333="I"),-1,1),"")</f>
        <v>0</v>
      </c>
      <c r="AW333" s="899">
        <f t="shared" si="23"/>
        <v>0</v>
      </c>
      <c r="AX333" s="899">
        <f>INDEX(V333:AG333,1,MATCH(Parametres!$B$3,V$1:AG$1,0))*IF(OR(C333="L",C333="S",C333="I"),-1,1)</f>
        <v>0</v>
      </c>
      <c r="AY333" s="487" t="s">
        <v>337</v>
      </c>
      <c r="AZ333" s="487" t="e">
        <f>+VLOOKUP($AJ333,Data_Validation!$A:$E,5,0)</f>
        <v>#N/A</v>
      </c>
    </row>
    <row r="334" spans="36:52" ht="15.75" customHeight="1">
      <c r="AJ334" s="899">
        <f t="shared" si="20"/>
        <v>0</v>
      </c>
      <c r="AK334" s="899">
        <f t="shared" si="20"/>
        <v>0</v>
      </c>
      <c r="AL334" s="905">
        <f>IFERROR(INDEX(G334:R334,1,MATCH(Parametres!$B$3,G$1:R$1,0)-1)*IF(OR(F334="L",F334="S",F334="I"),-1,1),"")</f>
        <v>0</v>
      </c>
      <c r="AM334" s="905">
        <f t="shared" si="21"/>
        <v>0</v>
      </c>
      <c r="AN334" s="905">
        <f>INDEX(G334:R334,1,MATCH(Parametres!$B$3,G$1:R$1,0))*IF(OR(F334="L",F334="S",F334="I"),-1,1)</f>
        <v>0</v>
      </c>
      <c r="AO334" s="487" t="e">
        <f>+VLOOKUP($AJ334,Data_Validation!$A:$D,1,0)</f>
        <v>#N/A</v>
      </c>
      <c r="AP334" s="487" t="e">
        <f>+VLOOKUP($AJ334,Data_Validation!$A:$D,3,0)</f>
        <v>#N/A</v>
      </c>
      <c r="AQ334" s="487" t="e">
        <f>+VLOOKUP($AJ334,Data_Validation!$A:$D,4,0)</f>
        <v>#N/A</v>
      </c>
      <c r="AR334" s="487" t="s">
        <v>299</v>
      </c>
      <c r="AS334" s="487" t="e">
        <f>+VLOOKUP($AJ334,Data_Validation!$A:$E,5,0)</f>
        <v>#N/A</v>
      </c>
      <c r="AT334" s="904">
        <f t="shared" si="22"/>
        <v>0</v>
      </c>
      <c r="AU334" s="488">
        <f t="shared" si="22"/>
        <v>0</v>
      </c>
      <c r="AV334" s="899">
        <f>IFERROR(INDEX(V334:AG334,1,MATCH(Parametres!$B$3,V$1:AG$1,0)-1)*IF(OR(C334="L",C334="S",C334="I"),-1,1),"")</f>
        <v>0</v>
      </c>
      <c r="AW334" s="899">
        <f t="shared" si="23"/>
        <v>0</v>
      </c>
      <c r="AX334" s="899">
        <f>INDEX(V334:AG334,1,MATCH(Parametres!$B$3,V$1:AG$1,0))*IF(OR(C334="L",C334="S",C334="I"),-1,1)</f>
        <v>0</v>
      </c>
      <c r="AY334" s="487" t="s">
        <v>337</v>
      </c>
      <c r="AZ334" s="487" t="e">
        <f>+VLOOKUP($AJ334,Data_Validation!$A:$E,5,0)</f>
        <v>#N/A</v>
      </c>
    </row>
    <row r="335" spans="36:52" ht="15" customHeight="1">
      <c r="AJ335" s="899">
        <f t="shared" si="20"/>
        <v>0</v>
      </c>
      <c r="AK335" s="899">
        <f t="shared" si="20"/>
        <v>0</v>
      </c>
      <c r="AL335" s="905">
        <f>IFERROR(INDEX(G335:R335,1,MATCH(Parametres!$B$3,G$1:R$1,0)-1)*IF(OR(F335="L",F335="S",F335="I"),-1,1),"")</f>
        <v>0</v>
      </c>
      <c r="AM335" s="905">
        <f t="shared" si="21"/>
        <v>0</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f t="shared" si="22"/>
        <v>0</v>
      </c>
      <c r="AU335" s="488">
        <f t="shared" si="22"/>
        <v>0</v>
      </c>
      <c r="AV335" s="899">
        <f>IFERROR(INDEX(V335:AG335,1,MATCH(Parametres!$B$3,V$1:AG$1,0)-1)*IF(OR(C335="L",C335="S",C335="I"),-1,1),"")</f>
        <v>0</v>
      </c>
      <c r="AW335" s="899">
        <f t="shared" si="23"/>
        <v>0</v>
      </c>
      <c r="AX335" s="899">
        <f>INDEX(V335:AG335,1,MATCH(Parametres!$B$3,V$1:AG$1,0))*IF(OR(C335="L",C335="S",C335="I"),-1,1)</f>
        <v>0</v>
      </c>
      <c r="AY335" s="487" t="s">
        <v>337</v>
      </c>
      <c r="AZ335" s="487" t="e">
        <f>+VLOOKUP($AJ335,Data_Validation!$A:$E,5,0)</f>
        <v>#N/A</v>
      </c>
    </row>
    <row r="336" spans="36:52" ht="15" customHeight="1">
      <c r="AJ336" s="899">
        <f t="shared" si="20"/>
        <v>0</v>
      </c>
      <c r="AK336" s="899">
        <f t="shared" si="20"/>
        <v>0</v>
      </c>
      <c r="AL336" s="905">
        <f>IFERROR(INDEX(G336:R336,1,MATCH(Parametres!$B$3,G$1:R$1,0)-1)*IF(OR(F336="L",F336="S",F336="I"),-1,1),"")</f>
        <v>0</v>
      </c>
      <c r="AM336" s="905">
        <f t="shared" si="21"/>
        <v>0</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f t="shared" si="22"/>
        <v>0</v>
      </c>
      <c r="AU336" s="488">
        <f t="shared" si="22"/>
        <v>0</v>
      </c>
      <c r="AV336" s="899">
        <f>IFERROR(INDEX(V336:AG336,1,MATCH(Parametres!$B$3,V$1:AG$1,0)-1)*IF(OR(C336="L",C336="S",C336="I"),-1,1),"")</f>
        <v>0</v>
      </c>
      <c r="AW336" s="899">
        <f t="shared" si="23"/>
        <v>0</v>
      </c>
      <c r="AX336" s="899">
        <f>INDEX(V336:AG336,1,MATCH(Parametres!$B$3,V$1:AG$1,0))*IF(OR(C336="L",C336="S",C336="I"),-1,1)</f>
        <v>0</v>
      </c>
      <c r="AY336" s="487" t="s">
        <v>337</v>
      </c>
      <c r="AZ336" s="487" t="e">
        <f>+VLOOKUP($AJ336,Data_Validation!$A:$E,5,0)</f>
        <v>#N/A</v>
      </c>
    </row>
    <row r="337" spans="36:52" ht="15" customHeight="1">
      <c r="AJ337" s="899">
        <f t="shared" si="20"/>
        <v>0</v>
      </c>
      <c r="AK337" s="899">
        <f t="shared" si="20"/>
        <v>0</v>
      </c>
      <c r="AL337" s="905">
        <f>IFERROR(INDEX(G337:R337,1,MATCH(Parametres!$B$3,G$1:R$1,0)-1)*IF(OR(F337="L",F337="S",F337="I"),-1,1),"")</f>
        <v>0</v>
      </c>
      <c r="AM337" s="905">
        <f t="shared" si="21"/>
        <v>0</v>
      </c>
      <c r="AN337" s="905">
        <f>INDEX(G337:R337,1,MATCH(Parametres!$B$3,G$1:R$1,0))*IF(OR(F337="L",F337="S",F337="I"),-1,1)</f>
        <v>0</v>
      </c>
      <c r="AO337" s="487" t="e">
        <f>+VLOOKUP($AJ337,Data_Validation!$A:$D,1,0)</f>
        <v>#N/A</v>
      </c>
      <c r="AP337" s="487" t="e">
        <f>+VLOOKUP($AJ337,Data_Validation!$A:$D,3,0)</f>
        <v>#N/A</v>
      </c>
      <c r="AQ337" s="487" t="e">
        <f>+VLOOKUP($AJ337,Data_Validation!$A:$D,4,0)</f>
        <v>#N/A</v>
      </c>
      <c r="AR337" s="487" t="s">
        <v>299</v>
      </c>
      <c r="AS337" s="487" t="e">
        <f>+VLOOKUP($AJ337,Data_Validation!$A:$E,5,0)</f>
        <v>#N/A</v>
      </c>
      <c r="AT337" s="904">
        <f t="shared" si="22"/>
        <v>0</v>
      </c>
      <c r="AU337" s="488">
        <f t="shared" si="22"/>
        <v>0</v>
      </c>
      <c r="AV337" s="899">
        <f>IFERROR(INDEX(V337:AG337,1,MATCH(Parametres!$B$3,V$1:AG$1,0)-1)*IF(OR(C337="L",C337="S",C337="I"),-1,1),"")</f>
        <v>0</v>
      </c>
      <c r="AW337" s="899">
        <f t="shared" si="23"/>
        <v>0</v>
      </c>
      <c r="AX337" s="899">
        <f>INDEX(V337:AG337,1,MATCH(Parametres!$B$3,V$1:AG$1,0))*IF(OR(C337="L",C337="S",C337="I"),-1,1)</f>
        <v>0</v>
      </c>
      <c r="AY337" s="487" t="s">
        <v>337</v>
      </c>
      <c r="AZ337" s="487" t="e">
        <f>+VLOOKUP($AJ337,Data_Validation!$A:$E,5,0)</f>
        <v>#N/A</v>
      </c>
    </row>
    <row r="338" spans="36:52" ht="15.75" customHeight="1">
      <c r="AJ338" s="899">
        <f t="shared" si="20"/>
        <v>0</v>
      </c>
      <c r="AK338" s="899">
        <f t="shared" si="20"/>
        <v>0</v>
      </c>
      <c r="AL338" s="905">
        <f>IFERROR(INDEX(G338:R338,1,MATCH(Parametres!$B$3,G$1:R$1,0)-1)*IF(OR(F338="L",F338="S",F338="I"),-1,1),"")</f>
        <v>0</v>
      </c>
      <c r="AM338" s="905">
        <f t="shared" si="21"/>
        <v>0</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f t="shared" si="22"/>
        <v>0</v>
      </c>
      <c r="AU338" s="488">
        <f t="shared" si="22"/>
        <v>0</v>
      </c>
      <c r="AV338" s="899">
        <f>IFERROR(INDEX(V338:AG338,1,MATCH(Parametres!$B$3,V$1:AG$1,0)-1)*IF(OR(C338="L",C338="S",C338="I"),-1,1),"")</f>
        <v>0</v>
      </c>
      <c r="AW338" s="899">
        <f t="shared" si="23"/>
        <v>0</v>
      </c>
      <c r="AX338" s="899">
        <f>INDEX(V338:AG338,1,MATCH(Parametres!$B$3,V$1:AG$1,0))*IF(OR(C338="L",C338="S",C338="I"),-1,1)</f>
        <v>0</v>
      </c>
      <c r="AY338" s="487" t="s">
        <v>337</v>
      </c>
      <c r="AZ338" s="487" t="e">
        <f>+VLOOKUP($AJ338,Data_Validation!$A:$E,5,0)</f>
        <v>#N/A</v>
      </c>
    </row>
    <row r="339" spans="36:52" ht="15" customHeight="1">
      <c r="AJ339" s="899">
        <f t="shared" si="20"/>
        <v>0</v>
      </c>
      <c r="AK339" s="899">
        <f t="shared" si="20"/>
        <v>0</v>
      </c>
      <c r="AL339" s="905">
        <f>IFERROR(INDEX(G339:R339,1,MATCH(Parametres!$B$3,G$1:R$1,0)-1)*IF(OR(F339="L",F339="S",F339="I"),-1,1),"")</f>
        <v>0</v>
      </c>
      <c r="AM339" s="905">
        <f t="shared" si="21"/>
        <v>0</v>
      </c>
      <c r="AN339" s="905">
        <f>INDEX(G339:R339,1,MATCH(Parametres!$B$3,G$1:R$1,0))*IF(OR(F339="L",F339="S",F339="I"),-1,1)</f>
        <v>0</v>
      </c>
      <c r="AO339" s="487" t="e">
        <f>+VLOOKUP($AJ339,Data_Validation!$A:$D,1,0)</f>
        <v>#N/A</v>
      </c>
      <c r="AP339" s="487" t="e">
        <f>+VLOOKUP($AJ339,Data_Validation!$A:$D,3,0)</f>
        <v>#N/A</v>
      </c>
      <c r="AQ339" s="487" t="e">
        <f>+VLOOKUP($AJ339,Data_Validation!$A:$D,4,0)</f>
        <v>#N/A</v>
      </c>
      <c r="AR339" s="487" t="s">
        <v>299</v>
      </c>
      <c r="AS339" s="487" t="e">
        <f>+VLOOKUP($AJ339,Data_Validation!$A:$E,5,0)</f>
        <v>#N/A</v>
      </c>
      <c r="AT339" s="904">
        <f t="shared" si="22"/>
        <v>0</v>
      </c>
      <c r="AU339" s="488">
        <f t="shared" si="22"/>
        <v>0</v>
      </c>
      <c r="AV339" s="899">
        <f>IFERROR(INDEX(V339:AG339,1,MATCH(Parametres!$B$3,V$1:AG$1,0)-1)*IF(OR(C339="L",C339="S",C339="I"),-1,1),"")</f>
        <v>0</v>
      </c>
      <c r="AW339" s="899">
        <f t="shared" si="23"/>
        <v>0</v>
      </c>
      <c r="AX339" s="899">
        <f>INDEX(V339:AG339,1,MATCH(Parametres!$B$3,V$1:AG$1,0))*IF(OR(C339="L",C339="S",C339="I"),-1,1)</f>
        <v>0</v>
      </c>
      <c r="AY339" s="487" t="s">
        <v>337</v>
      </c>
      <c r="AZ339" s="487" t="e">
        <f>+VLOOKUP($AJ339,Data_Validation!$A:$E,5,0)</f>
        <v>#N/A</v>
      </c>
    </row>
    <row r="340" spans="36:52" ht="15" customHeight="1">
      <c r="AJ340" s="899">
        <f t="shared" si="20"/>
        <v>0</v>
      </c>
      <c r="AK340" s="899">
        <f t="shared" si="20"/>
        <v>0</v>
      </c>
      <c r="AL340" s="905">
        <f>IFERROR(INDEX(G340:R340,1,MATCH(Parametres!$B$3,G$1:R$1,0)-1)*IF(OR(F340="L",F340="S",F340="I"),-1,1),"")</f>
        <v>0</v>
      </c>
      <c r="AM340" s="905">
        <f t="shared" si="21"/>
        <v>0</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f t="shared" si="22"/>
        <v>0</v>
      </c>
      <c r="AU340" s="488">
        <f t="shared" si="22"/>
        <v>0</v>
      </c>
      <c r="AV340" s="899">
        <f>IFERROR(INDEX(V340:AG340,1,MATCH(Parametres!$B$3,V$1:AG$1,0)-1)*IF(OR(C340="L",C340="S",C340="I"),-1,1),"")</f>
        <v>0</v>
      </c>
      <c r="AW340" s="899">
        <f t="shared" si="23"/>
        <v>0</v>
      </c>
      <c r="AX340" s="899">
        <f>INDEX(V340:AG340,1,MATCH(Parametres!$B$3,V$1:AG$1,0))*IF(OR(C340="L",C340="S",C340="I"),-1,1)</f>
        <v>0</v>
      </c>
      <c r="AY340" s="487" t="s">
        <v>337</v>
      </c>
      <c r="AZ340" s="487" t="e">
        <f>+VLOOKUP($AJ340,Data_Validation!$A:$E,5,0)</f>
        <v>#N/A</v>
      </c>
    </row>
    <row r="341" spans="36:52" ht="15" customHeight="1">
      <c r="AJ341" s="899">
        <f t="shared" si="20"/>
        <v>0</v>
      </c>
      <c r="AK341" s="899">
        <f t="shared" si="20"/>
        <v>0</v>
      </c>
      <c r="AL341" s="905">
        <f>IFERROR(INDEX(G341:R341,1,MATCH(Parametres!$B$3,G$1:R$1,0)-1)*IF(OR(F341="L",F341="S",F341="I"),-1,1),"")</f>
        <v>0</v>
      </c>
      <c r="AM341" s="905">
        <f t="shared" si="21"/>
        <v>0</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f t="shared" si="22"/>
        <v>0</v>
      </c>
      <c r="AU341" s="488">
        <f t="shared" si="22"/>
        <v>0</v>
      </c>
      <c r="AV341" s="899">
        <f>IFERROR(INDEX(V341:AG341,1,MATCH(Parametres!$B$3,V$1:AG$1,0)-1)*IF(OR(C341="L",C341="S",C341="I"),-1,1),"")</f>
        <v>0</v>
      </c>
      <c r="AW341" s="899">
        <f t="shared" si="23"/>
        <v>0</v>
      </c>
      <c r="AX341" s="899">
        <f>INDEX(V341:AG341,1,MATCH(Parametres!$B$3,V$1:AG$1,0))*IF(OR(C341="L",C341="S",C341="I"),-1,1)</f>
        <v>0</v>
      </c>
      <c r="AY341" s="487" t="s">
        <v>337</v>
      </c>
      <c r="AZ341" s="487" t="e">
        <f>+VLOOKUP($AJ341,Data_Validation!$A:$E,5,0)</f>
        <v>#N/A</v>
      </c>
    </row>
    <row r="342" spans="36:52" ht="15" customHeight="1">
      <c r="AJ342" s="899">
        <f t="shared" si="20"/>
        <v>0</v>
      </c>
      <c r="AK342" s="899">
        <f t="shared" si="20"/>
        <v>0</v>
      </c>
      <c r="AL342" s="905">
        <f>IFERROR(INDEX(G342:R342,1,MATCH(Parametres!$B$3,G$1:R$1,0)-1)*IF(OR(F342="L",F342="S",F342="I"),-1,1),"")</f>
        <v>0</v>
      </c>
      <c r="AM342" s="905">
        <f t="shared" si="21"/>
        <v>0</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f t="shared" si="22"/>
        <v>0</v>
      </c>
      <c r="AU342" s="488">
        <f t="shared" si="22"/>
        <v>0</v>
      </c>
      <c r="AV342" s="899">
        <f>IFERROR(INDEX(V342:AG342,1,MATCH(Parametres!$B$3,V$1:AG$1,0)-1)*IF(OR(C342="L",C342="S",C342="I"),-1,1),"")</f>
        <v>0</v>
      </c>
      <c r="AW342" s="899">
        <f t="shared" si="23"/>
        <v>0</v>
      </c>
      <c r="AX342" s="899">
        <f>INDEX(V342:AG342,1,MATCH(Parametres!$B$3,V$1:AG$1,0))*IF(OR(C342="L",C342="S",C342="I"),-1,1)</f>
        <v>0</v>
      </c>
      <c r="AY342" s="487" t="s">
        <v>337</v>
      </c>
      <c r="AZ342" s="487" t="e">
        <f>+VLOOKUP($AJ342,Data_Validation!$A:$E,5,0)</f>
        <v>#N/A</v>
      </c>
    </row>
    <row r="343" spans="36:52" ht="15.75" customHeight="1">
      <c r="AJ343" s="899">
        <f t="shared" si="20"/>
        <v>0</v>
      </c>
      <c r="AK343" s="899">
        <f t="shared" si="20"/>
        <v>0</v>
      </c>
      <c r="AL343" s="905">
        <f>IFERROR(INDEX(G343:R343,1,MATCH(Parametres!$B$3,G$1:R$1,0)-1)*IF(OR(F343="L",F343="S",F343="I"),-1,1),"")</f>
        <v>0</v>
      </c>
      <c r="AM343" s="905">
        <f t="shared" si="21"/>
        <v>0</v>
      </c>
      <c r="AN343" s="905">
        <f>INDEX(G343:R343,1,MATCH(Parametres!$B$3,G$1:R$1,0))*IF(OR(F343="L",F343="S",F343="I"),-1,1)</f>
        <v>0</v>
      </c>
      <c r="AO343" s="487" t="e">
        <f>+VLOOKUP($AJ343,Data_Validation!$A:$D,1,0)</f>
        <v>#N/A</v>
      </c>
      <c r="AP343" s="487" t="e">
        <f>+VLOOKUP($AJ343,Data_Validation!$A:$D,3,0)</f>
        <v>#N/A</v>
      </c>
      <c r="AQ343" s="487" t="e">
        <f>+VLOOKUP($AJ343,Data_Validation!$A:$D,4,0)</f>
        <v>#N/A</v>
      </c>
      <c r="AR343" s="487" t="s">
        <v>299</v>
      </c>
      <c r="AS343" s="487" t="e">
        <f>+VLOOKUP($AJ343,Data_Validation!$A:$E,5,0)</f>
        <v>#N/A</v>
      </c>
      <c r="AT343" s="904">
        <f t="shared" si="22"/>
        <v>0</v>
      </c>
      <c r="AU343" s="488">
        <f t="shared" si="22"/>
        <v>0</v>
      </c>
      <c r="AV343" s="899">
        <f>IFERROR(INDEX(V343:AG343,1,MATCH(Parametres!$B$3,V$1:AG$1,0)-1)*IF(OR(C343="L",C343="S",C343="I"),-1,1),"")</f>
        <v>0</v>
      </c>
      <c r="AW343" s="899">
        <f t="shared" si="23"/>
        <v>0</v>
      </c>
      <c r="AX343" s="899">
        <f>INDEX(V343:AG343,1,MATCH(Parametres!$B$3,V$1:AG$1,0))*IF(OR(C343="L",C343="S",C343="I"),-1,1)</f>
        <v>0</v>
      </c>
      <c r="AY343" s="487" t="s">
        <v>337</v>
      </c>
      <c r="AZ343" s="487" t="e">
        <f>+VLOOKUP($AJ343,Data_Validation!$A:$E,5,0)</f>
        <v>#N/A</v>
      </c>
    </row>
    <row r="344" spans="36:52" ht="15" customHeight="1">
      <c r="AJ344" s="899">
        <f t="shared" si="20"/>
        <v>0</v>
      </c>
      <c r="AK344" s="899">
        <f t="shared" si="20"/>
        <v>0</v>
      </c>
      <c r="AL344" s="905">
        <f>IFERROR(INDEX(G344:R344,1,MATCH(Parametres!$B$3,G$1:R$1,0)-1)*IF(OR(F344="L",F344="S",F344="I"),-1,1),"")</f>
        <v>0</v>
      </c>
      <c r="AM344" s="905">
        <f t="shared" si="21"/>
        <v>0</v>
      </c>
      <c r="AN344" s="905">
        <f>INDEX(G344:R344,1,MATCH(Parametres!$B$3,G$1:R$1,0))*IF(OR(F344="L",F344="S",F344="I"),-1,1)</f>
        <v>0</v>
      </c>
      <c r="AO344" s="487" t="e">
        <f>+VLOOKUP($AJ344,Data_Validation!$A:$D,1,0)</f>
        <v>#N/A</v>
      </c>
      <c r="AP344" s="487" t="e">
        <f>+VLOOKUP($AJ344,Data_Validation!$A:$D,3,0)</f>
        <v>#N/A</v>
      </c>
      <c r="AQ344" s="487" t="e">
        <f>+VLOOKUP($AJ344,Data_Validation!$A:$D,4,0)</f>
        <v>#N/A</v>
      </c>
      <c r="AR344" s="487" t="s">
        <v>299</v>
      </c>
      <c r="AS344" s="487" t="e">
        <f>+VLOOKUP($AJ344,Data_Validation!$A:$E,5,0)</f>
        <v>#N/A</v>
      </c>
      <c r="AT344" s="904">
        <f t="shared" si="22"/>
        <v>0</v>
      </c>
      <c r="AU344" s="488">
        <f t="shared" si="22"/>
        <v>0</v>
      </c>
      <c r="AV344" s="899">
        <f>IFERROR(INDEX(V344:AG344,1,MATCH(Parametres!$B$3,V$1:AG$1,0)-1)*IF(OR(C344="L",C344="S",C344="I"),-1,1),"")</f>
        <v>0</v>
      </c>
      <c r="AW344" s="899">
        <f t="shared" si="23"/>
        <v>0</v>
      </c>
      <c r="AX344" s="899">
        <f>INDEX(V344:AG344,1,MATCH(Parametres!$B$3,V$1:AG$1,0))*IF(OR(C344="L",C344="S",C344="I"),-1,1)</f>
        <v>0</v>
      </c>
      <c r="AY344" s="487" t="s">
        <v>337</v>
      </c>
      <c r="AZ344" s="487" t="e">
        <f>+VLOOKUP($AJ344,Data_Validation!$A:$E,5,0)</f>
        <v>#N/A</v>
      </c>
    </row>
    <row r="345" spans="36:52" ht="15" customHeight="1">
      <c r="AJ345" s="899">
        <f t="shared" si="20"/>
        <v>0</v>
      </c>
      <c r="AK345" s="899">
        <f t="shared" si="20"/>
        <v>0</v>
      </c>
      <c r="AL345" s="905">
        <f>IFERROR(INDEX(G345:R345,1,MATCH(Parametres!$B$3,G$1:R$1,0)-1)*IF(OR(F345="L",F345="S",F345="I"),-1,1),"")</f>
        <v>0</v>
      </c>
      <c r="AM345" s="905">
        <f t="shared" si="21"/>
        <v>0</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f t="shared" si="22"/>
        <v>0</v>
      </c>
      <c r="AU345" s="488">
        <f t="shared" si="22"/>
        <v>0</v>
      </c>
      <c r="AV345" s="899">
        <f>IFERROR(INDEX(V345:AG345,1,MATCH(Parametres!$B$3,V$1:AG$1,0)-1)*IF(OR(C345="L",C345="S",C345="I"),-1,1),"")</f>
        <v>0</v>
      </c>
      <c r="AW345" s="899">
        <f t="shared" si="23"/>
        <v>0</v>
      </c>
      <c r="AX345" s="899">
        <f>INDEX(V345:AG345,1,MATCH(Parametres!$B$3,V$1:AG$1,0))*IF(OR(C345="L",C345="S",C345="I"),-1,1)</f>
        <v>0</v>
      </c>
      <c r="AY345" s="487" t="s">
        <v>337</v>
      </c>
      <c r="AZ345" s="487" t="e">
        <f>+VLOOKUP($AJ345,Data_Validation!$A:$E,5,0)</f>
        <v>#N/A</v>
      </c>
    </row>
    <row r="346" spans="36:52" ht="15" customHeight="1">
      <c r="AJ346" s="899">
        <f t="shared" si="20"/>
        <v>0</v>
      </c>
      <c r="AK346" s="899">
        <f t="shared" si="20"/>
        <v>0</v>
      </c>
      <c r="AL346" s="905">
        <f>IFERROR(INDEX(G346:R346,1,MATCH(Parametres!$B$3,G$1:R$1,0)-1)*IF(OR(F346="L",F346="S",F346="I"),-1,1),"")</f>
        <v>0</v>
      </c>
      <c r="AM346" s="905">
        <f t="shared" si="21"/>
        <v>0</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f t="shared" si="22"/>
        <v>0</v>
      </c>
      <c r="AU346" s="488">
        <f t="shared" si="22"/>
        <v>0</v>
      </c>
      <c r="AV346" s="899">
        <f>IFERROR(INDEX(V346:AG346,1,MATCH(Parametres!$B$3,V$1:AG$1,0)-1)*IF(OR(C346="L",C346="S",C346="I"),-1,1),"")</f>
        <v>0</v>
      </c>
      <c r="AW346" s="899">
        <f t="shared" si="23"/>
        <v>0</v>
      </c>
      <c r="AX346" s="899">
        <f>INDEX(V346:AG346,1,MATCH(Parametres!$B$3,V$1:AG$1,0))*IF(OR(C346="L",C346="S",C346="I"),-1,1)</f>
        <v>0</v>
      </c>
      <c r="AY346" s="487" t="s">
        <v>337</v>
      </c>
      <c r="AZ346" s="487" t="e">
        <f>+VLOOKUP($AJ346,Data_Validation!$A:$E,5,0)</f>
        <v>#N/A</v>
      </c>
    </row>
    <row r="347" spans="36:52" ht="15.75" customHeight="1">
      <c r="AJ347" s="899">
        <f t="shared" si="20"/>
        <v>0</v>
      </c>
      <c r="AK347" s="899">
        <f t="shared" si="20"/>
        <v>0</v>
      </c>
      <c r="AL347" s="905">
        <f>IFERROR(INDEX(G347:R347,1,MATCH(Parametres!$B$3,G$1:R$1,0)-1)*IF(OR(F347="L",F347="S",F347="I"),-1,1),"")</f>
        <v>0</v>
      </c>
      <c r="AM347" s="905">
        <f t="shared" si="21"/>
        <v>0</v>
      </c>
      <c r="AN347" s="905">
        <f>INDEX(G347:R347,1,MATCH(Parametres!$B$3,G$1:R$1,0))*IF(OR(F347="L",F347="S",F347="I"),-1,1)</f>
        <v>0</v>
      </c>
      <c r="AO347" s="487" t="e">
        <f>+VLOOKUP($AJ347,Data_Validation!$A:$D,1,0)</f>
        <v>#N/A</v>
      </c>
      <c r="AP347" s="487" t="e">
        <f>+VLOOKUP($AJ347,Data_Validation!$A:$D,3,0)</f>
        <v>#N/A</v>
      </c>
      <c r="AQ347" s="487" t="e">
        <f>+VLOOKUP($AJ347,Data_Validation!$A:$D,4,0)</f>
        <v>#N/A</v>
      </c>
      <c r="AR347" s="487" t="s">
        <v>299</v>
      </c>
      <c r="AS347" s="487" t="e">
        <f>+VLOOKUP($AJ347,Data_Validation!$A:$E,5,0)</f>
        <v>#N/A</v>
      </c>
      <c r="AT347" s="904">
        <f t="shared" si="22"/>
        <v>0</v>
      </c>
      <c r="AU347" s="488">
        <f t="shared" si="22"/>
        <v>0</v>
      </c>
      <c r="AV347" s="899">
        <f>IFERROR(INDEX(V347:AG347,1,MATCH(Parametres!$B$3,V$1:AG$1,0)-1)*IF(OR(C347="L",C347="S",C347="I"),-1,1),"")</f>
        <v>0</v>
      </c>
      <c r="AW347" s="899">
        <f t="shared" si="23"/>
        <v>0</v>
      </c>
      <c r="AX347" s="899">
        <f>INDEX(V347:AG347,1,MATCH(Parametres!$B$3,V$1:AG$1,0))*IF(OR(C347="L",C347="S",C347="I"),-1,1)</f>
        <v>0</v>
      </c>
      <c r="AY347" s="487" t="s">
        <v>337</v>
      </c>
      <c r="AZ347" s="487" t="e">
        <f>+VLOOKUP($AJ347,Data_Validation!$A:$E,5,0)</f>
        <v>#N/A</v>
      </c>
    </row>
    <row r="348" spans="36:52" ht="15" customHeight="1">
      <c r="AJ348" s="899">
        <f t="shared" si="20"/>
        <v>0</v>
      </c>
      <c r="AK348" s="899">
        <f t="shared" si="20"/>
        <v>0</v>
      </c>
      <c r="AL348" s="905">
        <f>IFERROR(INDEX(G348:R348,1,MATCH(Parametres!$B$3,G$1:R$1,0)-1)*IF(OR(F348="L",F348="S",F348="I"),-1,1),"")</f>
        <v>0</v>
      </c>
      <c r="AM348" s="905">
        <f t="shared" si="21"/>
        <v>0</v>
      </c>
      <c r="AN348" s="905">
        <f>INDEX(G348:R348,1,MATCH(Parametres!$B$3,G$1:R$1,0))*IF(OR(F348="L",F348="S",F348="I"),-1,1)</f>
        <v>0</v>
      </c>
      <c r="AO348" s="487" t="e">
        <f>+VLOOKUP($AJ348,Data_Validation!$A:$D,1,0)</f>
        <v>#N/A</v>
      </c>
      <c r="AP348" s="487" t="e">
        <f>+VLOOKUP($AJ348,Data_Validation!$A:$D,3,0)</f>
        <v>#N/A</v>
      </c>
      <c r="AQ348" s="487" t="e">
        <f>+VLOOKUP($AJ348,Data_Validation!$A:$D,4,0)</f>
        <v>#N/A</v>
      </c>
      <c r="AR348" s="487" t="s">
        <v>299</v>
      </c>
      <c r="AS348" s="487" t="e">
        <f>+VLOOKUP($AJ348,Data_Validation!$A:$E,5,0)</f>
        <v>#N/A</v>
      </c>
      <c r="AT348" s="904">
        <f t="shared" si="22"/>
        <v>0</v>
      </c>
      <c r="AU348" s="488">
        <f t="shared" si="22"/>
        <v>0</v>
      </c>
      <c r="AV348" s="899">
        <f>IFERROR(INDEX(V348:AG348,1,MATCH(Parametres!$B$3,V$1:AG$1,0)-1)*IF(OR(C348="L",C348="S",C348="I"),-1,1),"")</f>
        <v>0</v>
      </c>
      <c r="AW348" s="899">
        <f t="shared" si="23"/>
        <v>0</v>
      </c>
      <c r="AX348" s="899">
        <f>INDEX(V348:AG348,1,MATCH(Parametres!$B$3,V$1:AG$1,0))*IF(OR(C348="L",C348="S",C348="I"),-1,1)</f>
        <v>0</v>
      </c>
      <c r="AY348" s="487" t="s">
        <v>337</v>
      </c>
      <c r="AZ348" s="487" t="e">
        <f>+VLOOKUP($AJ348,Data_Validation!$A:$E,5,0)</f>
        <v>#N/A</v>
      </c>
    </row>
    <row r="349" spans="36:52" ht="15" customHeight="1">
      <c r="AJ349" s="899">
        <f t="shared" si="20"/>
        <v>0</v>
      </c>
      <c r="AK349" s="899">
        <f t="shared" si="20"/>
        <v>0</v>
      </c>
      <c r="AL349" s="905">
        <f>IFERROR(INDEX(G349:R349,1,MATCH(Parametres!$B$3,G$1:R$1,0)-1)*IF(OR(F349="L",F349="S",F349="I"),-1,1),"")</f>
        <v>0</v>
      </c>
      <c r="AM349" s="905">
        <f t="shared" si="21"/>
        <v>0</v>
      </c>
      <c r="AN349" s="905">
        <f>INDEX(G349:R349,1,MATCH(Parametres!$B$3,G$1:R$1,0))*IF(OR(F349="L",F349="S",F349="I"),-1,1)</f>
        <v>0</v>
      </c>
      <c r="AO349" s="487" t="e">
        <f>+VLOOKUP($AJ349,Data_Validation!$A:$D,1,0)</f>
        <v>#N/A</v>
      </c>
      <c r="AP349" s="487" t="e">
        <f>+VLOOKUP($AJ349,Data_Validation!$A:$D,3,0)</f>
        <v>#N/A</v>
      </c>
      <c r="AQ349" s="487" t="e">
        <f>+VLOOKUP($AJ349,Data_Validation!$A:$D,4,0)</f>
        <v>#N/A</v>
      </c>
      <c r="AR349" s="487" t="s">
        <v>299</v>
      </c>
      <c r="AS349" s="487" t="e">
        <f>+VLOOKUP($AJ349,Data_Validation!$A:$E,5,0)</f>
        <v>#N/A</v>
      </c>
      <c r="AT349" s="904">
        <f t="shared" si="22"/>
        <v>0</v>
      </c>
      <c r="AU349" s="488">
        <f t="shared" si="22"/>
        <v>0</v>
      </c>
      <c r="AV349" s="899">
        <f>IFERROR(INDEX(V349:AG349,1,MATCH(Parametres!$B$3,V$1:AG$1,0)-1)*IF(OR(C349="L",C349="S",C349="I"),-1,1),"")</f>
        <v>0</v>
      </c>
      <c r="AW349" s="899">
        <f t="shared" si="23"/>
        <v>0</v>
      </c>
      <c r="AX349" s="899">
        <f>INDEX(V349:AG349,1,MATCH(Parametres!$B$3,V$1:AG$1,0))*IF(OR(C349="L",C349="S",C349="I"),-1,1)</f>
        <v>0</v>
      </c>
      <c r="AY349" s="487" t="s">
        <v>337</v>
      </c>
      <c r="AZ349" s="487" t="e">
        <f>+VLOOKUP($AJ349,Data_Validation!$A:$E,5,0)</f>
        <v>#N/A</v>
      </c>
    </row>
    <row r="350" spans="36:52" ht="15" customHeight="1">
      <c r="AJ350" s="899">
        <f t="shared" si="20"/>
        <v>0</v>
      </c>
      <c r="AK350" s="899">
        <f t="shared" si="20"/>
        <v>0</v>
      </c>
      <c r="AL350" s="905">
        <f>IFERROR(INDEX(G350:R350,1,MATCH(Parametres!$B$3,G$1:R$1,0)-1)*IF(OR(F350="L",F350="S",F350="I"),-1,1),"")</f>
        <v>0</v>
      </c>
      <c r="AM350" s="905">
        <f t="shared" si="21"/>
        <v>0</v>
      </c>
      <c r="AN350" s="905">
        <f>INDEX(G350:R350,1,MATCH(Parametres!$B$3,G$1:R$1,0))*IF(OR(F350="L",F350="S",F350="I"),-1,1)</f>
        <v>0</v>
      </c>
      <c r="AO350" s="487" t="e">
        <f>+VLOOKUP($AJ350,Data_Validation!$A:$D,1,0)</f>
        <v>#N/A</v>
      </c>
      <c r="AP350" s="487" t="e">
        <f>+VLOOKUP($AJ350,Data_Validation!$A:$D,3,0)</f>
        <v>#N/A</v>
      </c>
      <c r="AQ350" s="487" t="e">
        <f>+VLOOKUP($AJ350,Data_Validation!$A:$D,4,0)</f>
        <v>#N/A</v>
      </c>
      <c r="AR350" s="487" t="s">
        <v>299</v>
      </c>
      <c r="AS350" s="487" t="e">
        <f>+VLOOKUP($AJ350,Data_Validation!$A:$E,5,0)</f>
        <v>#N/A</v>
      </c>
      <c r="AT350" s="904">
        <f t="shared" si="22"/>
        <v>0</v>
      </c>
      <c r="AU350" s="488">
        <f t="shared" si="22"/>
        <v>0</v>
      </c>
      <c r="AV350" s="899">
        <f>IFERROR(INDEX(V350:AG350,1,MATCH(Parametres!$B$3,V$1:AG$1,0)-1)*IF(OR(C350="L",C350="S",C350="I"),-1,1),"")</f>
        <v>0</v>
      </c>
      <c r="AW350" s="899">
        <f t="shared" si="23"/>
        <v>0</v>
      </c>
      <c r="AX350" s="899">
        <f>INDEX(V350:AG350,1,MATCH(Parametres!$B$3,V$1:AG$1,0))*IF(OR(C350="L",C350="S",C350="I"),-1,1)</f>
        <v>0</v>
      </c>
      <c r="AY350" s="487" t="s">
        <v>337</v>
      </c>
      <c r="AZ350" s="487" t="e">
        <f>+VLOOKUP($AJ350,Data_Validation!$A:$E,5,0)</f>
        <v>#N/A</v>
      </c>
    </row>
    <row r="351" spans="36:52" ht="15" customHeight="1">
      <c r="AJ351" s="899">
        <f t="shared" si="20"/>
        <v>0</v>
      </c>
      <c r="AK351" s="899">
        <f t="shared" si="20"/>
        <v>0</v>
      </c>
      <c r="AL351" s="905">
        <f>IFERROR(INDEX(G351:R351,1,MATCH(Parametres!$B$3,G$1:R$1,0)-1)*IF(OR(F351="L",F351="S",F351="I"),-1,1),"")</f>
        <v>0</v>
      </c>
      <c r="AM351" s="905">
        <f t="shared" si="21"/>
        <v>0</v>
      </c>
      <c r="AN351" s="905">
        <f>INDEX(G351:R351,1,MATCH(Parametres!$B$3,G$1:R$1,0))*IF(OR(F351="L",F351="S",F351="I"),-1,1)</f>
        <v>0</v>
      </c>
      <c r="AO351" s="487" t="e">
        <f>+VLOOKUP($AJ351,Data_Validation!$A:$D,1,0)</f>
        <v>#N/A</v>
      </c>
      <c r="AP351" s="487" t="e">
        <f>+VLOOKUP($AJ351,Data_Validation!$A:$D,3,0)</f>
        <v>#N/A</v>
      </c>
      <c r="AQ351" s="487" t="e">
        <f>+VLOOKUP($AJ351,Data_Validation!$A:$D,4,0)</f>
        <v>#N/A</v>
      </c>
      <c r="AR351" s="487" t="s">
        <v>299</v>
      </c>
      <c r="AS351" s="487" t="e">
        <f>+VLOOKUP($AJ351,Data_Validation!$A:$E,5,0)</f>
        <v>#N/A</v>
      </c>
      <c r="AT351" s="904">
        <f t="shared" si="22"/>
        <v>0</v>
      </c>
      <c r="AU351" s="488">
        <f t="shared" si="22"/>
        <v>0</v>
      </c>
      <c r="AV351" s="899">
        <f>IFERROR(INDEX(V351:AG351,1,MATCH(Parametres!$B$3,V$1:AG$1,0)-1)*IF(OR(C351="L",C351="S",C351="I"),-1,1),"")</f>
        <v>0</v>
      </c>
      <c r="AW351" s="899">
        <f t="shared" si="23"/>
        <v>0</v>
      </c>
      <c r="AX351" s="899">
        <f>INDEX(V351:AG351,1,MATCH(Parametres!$B$3,V$1:AG$1,0))*IF(OR(C351="L",C351="S",C351="I"),-1,1)</f>
        <v>0</v>
      </c>
      <c r="AY351" s="487" t="s">
        <v>337</v>
      </c>
      <c r="AZ351" s="487" t="e">
        <f>+VLOOKUP($AJ351,Data_Validation!$A:$E,5,0)</f>
        <v>#N/A</v>
      </c>
    </row>
    <row r="352" spans="36:52" ht="15.75" customHeight="1">
      <c r="AJ352" s="899">
        <f t="shared" si="20"/>
        <v>0</v>
      </c>
      <c r="AK352" s="899">
        <f t="shared" si="20"/>
        <v>0</v>
      </c>
      <c r="AL352" s="905">
        <f>IFERROR(INDEX(G352:R352,1,MATCH(Parametres!$B$3,G$1:R$1,0)-1)*IF(OR(F352="L",F352="S",F352="I"),-1,1),"")</f>
        <v>0</v>
      </c>
      <c r="AM352" s="905">
        <f t="shared" si="21"/>
        <v>0</v>
      </c>
      <c r="AN352" s="905">
        <f>INDEX(G352:R352,1,MATCH(Parametres!$B$3,G$1:R$1,0))*IF(OR(F352="L",F352="S",F352="I"),-1,1)</f>
        <v>0</v>
      </c>
      <c r="AO352" s="487" t="e">
        <f>+VLOOKUP($AJ352,Data_Validation!$A:$D,1,0)</f>
        <v>#N/A</v>
      </c>
      <c r="AP352" s="487" t="e">
        <f>+VLOOKUP($AJ352,Data_Validation!$A:$D,3,0)</f>
        <v>#N/A</v>
      </c>
      <c r="AQ352" s="487" t="e">
        <f>+VLOOKUP($AJ352,Data_Validation!$A:$D,4,0)</f>
        <v>#N/A</v>
      </c>
      <c r="AR352" s="487" t="s">
        <v>299</v>
      </c>
      <c r="AS352" s="487" t="e">
        <f>+VLOOKUP($AJ352,Data_Validation!$A:$E,5,0)</f>
        <v>#N/A</v>
      </c>
      <c r="AT352" s="904">
        <f t="shared" si="22"/>
        <v>0</v>
      </c>
      <c r="AU352" s="488">
        <f t="shared" si="22"/>
        <v>0</v>
      </c>
      <c r="AV352" s="899">
        <f>IFERROR(INDEX(V352:AG352,1,MATCH(Parametres!$B$3,V$1:AG$1,0)-1)*IF(OR(C352="L",C352="S",C352="I"),-1,1),"")</f>
        <v>0</v>
      </c>
      <c r="AW352" s="899">
        <f t="shared" si="23"/>
        <v>0</v>
      </c>
      <c r="AX352" s="899">
        <f>INDEX(V352:AG352,1,MATCH(Parametres!$B$3,V$1:AG$1,0))*IF(OR(C352="L",C352="S",C352="I"),-1,1)</f>
        <v>0</v>
      </c>
      <c r="AY352" s="487" t="s">
        <v>337</v>
      </c>
      <c r="AZ352" s="487" t="e">
        <f>+VLOOKUP($AJ352,Data_Validation!$A:$E,5,0)</f>
        <v>#N/A</v>
      </c>
    </row>
    <row r="353" spans="36:52" ht="15" customHeight="1">
      <c r="AJ353" s="899">
        <f t="shared" si="20"/>
        <v>0</v>
      </c>
      <c r="AK353" s="899">
        <f t="shared" si="20"/>
        <v>0</v>
      </c>
      <c r="AL353" s="905">
        <f>IFERROR(INDEX(G353:R353,1,MATCH(Parametres!$B$3,G$1:R$1,0)-1)*IF(OR(F353="L",F353="S",F353="I"),-1,1),"")</f>
        <v>0</v>
      </c>
      <c r="AM353" s="905">
        <f t="shared" si="21"/>
        <v>0</v>
      </c>
      <c r="AN353" s="905">
        <f>INDEX(G353:R353,1,MATCH(Parametres!$B$3,G$1:R$1,0))*IF(OR(F353="L",F353="S",F353="I"),-1,1)</f>
        <v>0</v>
      </c>
      <c r="AO353" s="487" t="e">
        <f>+VLOOKUP($AJ353,Data_Validation!$A:$D,1,0)</f>
        <v>#N/A</v>
      </c>
      <c r="AP353" s="487" t="e">
        <f>+VLOOKUP($AJ353,Data_Validation!$A:$D,3,0)</f>
        <v>#N/A</v>
      </c>
      <c r="AQ353" s="487" t="e">
        <f>+VLOOKUP($AJ353,Data_Validation!$A:$D,4,0)</f>
        <v>#N/A</v>
      </c>
      <c r="AR353" s="487" t="s">
        <v>299</v>
      </c>
      <c r="AS353" s="487" t="e">
        <f>+VLOOKUP($AJ353,Data_Validation!$A:$E,5,0)</f>
        <v>#N/A</v>
      </c>
      <c r="AT353" s="904">
        <f t="shared" si="22"/>
        <v>0</v>
      </c>
      <c r="AU353" s="488">
        <f t="shared" si="22"/>
        <v>0</v>
      </c>
      <c r="AV353" s="899">
        <f>IFERROR(INDEX(V353:AG353,1,MATCH(Parametres!$B$3,V$1:AG$1,0)-1)*IF(OR(C353="L",C353="S",C353="I"),-1,1),"")</f>
        <v>0</v>
      </c>
      <c r="AW353" s="899">
        <f t="shared" si="23"/>
        <v>0</v>
      </c>
      <c r="AX353" s="899">
        <f>INDEX(V353:AG353,1,MATCH(Parametres!$B$3,V$1:AG$1,0))*IF(OR(C353="L",C353="S",C353="I"),-1,1)</f>
        <v>0</v>
      </c>
      <c r="AY353" s="487" t="s">
        <v>337</v>
      </c>
      <c r="AZ353" s="487" t="e">
        <f>+VLOOKUP($AJ353,Data_Validation!$A:$E,5,0)</f>
        <v>#N/A</v>
      </c>
    </row>
    <row r="354" spans="36:52" ht="15" customHeight="1">
      <c r="AJ354" s="899">
        <f t="shared" si="20"/>
        <v>0</v>
      </c>
      <c r="AK354" s="899">
        <f t="shared" si="20"/>
        <v>0</v>
      </c>
      <c r="AL354" s="905">
        <f>IFERROR(INDEX(G354:R354,1,MATCH(Parametres!$B$3,G$1:R$1,0)-1)*IF(OR(F354="L",F354="S",F354="I"),-1,1),"")</f>
        <v>0</v>
      </c>
      <c r="AM354" s="905">
        <f t="shared" si="21"/>
        <v>0</v>
      </c>
      <c r="AN354" s="905">
        <f>INDEX(G354:R354,1,MATCH(Parametres!$B$3,G$1:R$1,0))*IF(OR(F354="L",F354="S",F354="I"),-1,1)</f>
        <v>0</v>
      </c>
      <c r="AO354" s="487" t="e">
        <f>+VLOOKUP($AJ354,Data_Validation!$A:$D,1,0)</f>
        <v>#N/A</v>
      </c>
      <c r="AP354" s="487" t="e">
        <f>+VLOOKUP($AJ354,Data_Validation!$A:$D,3,0)</f>
        <v>#N/A</v>
      </c>
      <c r="AQ354" s="487" t="e">
        <f>+VLOOKUP($AJ354,Data_Validation!$A:$D,4,0)</f>
        <v>#N/A</v>
      </c>
      <c r="AR354" s="487" t="s">
        <v>299</v>
      </c>
      <c r="AS354" s="487" t="e">
        <f>+VLOOKUP($AJ354,Data_Validation!$A:$E,5,0)</f>
        <v>#N/A</v>
      </c>
      <c r="AT354" s="904">
        <f t="shared" si="22"/>
        <v>0</v>
      </c>
      <c r="AU354" s="488">
        <f t="shared" si="22"/>
        <v>0</v>
      </c>
      <c r="AV354" s="899">
        <f>IFERROR(INDEX(V354:AG354,1,MATCH(Parametres!$B$3,V$1:AG$1,0)-1)*IF(OR(C354="L",C354="S",C354="I"),-1,1),"")</f>
        <v>0</v>
      </c>
      <c r="AW354" s="899">
        <f t="shared" si="23"/>
        <v>0</v>
      </c>
      <c r="AX354" s="899">
        <f>INDEX(V354:AG354,1,MATCH(Parametres!$B$3,V$1:AG$1,0))*IF(OR(C354="L",C354="S",C354="I"),-1,1)</f>
        <v>0</v>
      </c>
      <c r="AY354" s="487" t="s">
        <v>337</v>
      </c>
      <c r="AZ354" s="487" t="e">
        <f>+VLOOKUP($AJ354,Data_Validation!$A:$E,5,0)</f>
        <v>#N/A</v>
      </c>
    </row>
    <row r="355" spans="36:52" ht="15" customHeight="1">
      <c r="AJ355" s="899">
        <f t="shared" si="20"/>
        <v>0</v>
      </c>
      <c r="AK355" s="899">
        <f t="shared" si="20"/>
        <v>0</v>
      </c>
      <c r="AL355" s="905">
        <f>IFERROR(INDEX(G355:R355,1,MATCH(Parametres!$B$3,G$1:R$1,0)-1)*IF(OR(F355="L",F355="S",F355="I"),-1,1),"")</f>
        <v>0</v>
      </c>
      <c r="AM355" s="905">
        <f t="shared" si="21"/>
        <v>0</v>
      </c>
      <c r="AN355" s="905">
        <f>INDEX(G355:R355,1,MATCH(Parametres!$B$3,G$1:R$1,0))*IF(OR(F355="L",F355="S",F355="I"),-1,1)</f>
        <v>0</v>
      </c>
      <c r="AO355" s="487" t="e">
        <f>+VLOOKUP($AJ355,Data_Validation!$A:$D,1,0)</f>
        <v>#N/A</v>
      </c>
      <c r="AP355" s="487" t="e">
        <f>+VLOOKUP($AJ355,Data_Validation!$A:$D,3,0)</f>
        <v>#N/A</v>
      </c>
      <c r="AQ355" s="487" t="e">
        <f>+VLOOKUP($AJ355,Data_Validation!$A:$D,4,0)</f>
        <v>#N/A</v>
      </c>
      <c r="AR355" s="487" t="s">
        <v>299</v>
      </c>
      <c r="AS355" s="487" t="e">
        <f>+VLOOKUP($AJ355,Data_Validation!$A:$E,5,0)</f>
        <v>#N/A</v>
      </c>
      <c r="AT355" s="904">
        <f t="shared" si="22"/>
        <v>0</v>
      </c>
      <c r="AU355" s="488">
        <f t="shared" si="22"/>
        <v>0</v>
      </c>
      <c r="AV355" s="899">
        <f>IFERROR(INDEX(V355:AG355,1,MATCH(Parametres!$B$3,V$1:AG$1,0)-1)*IF(OR(C355="L",C355="S",C355="I"),-1,1),"")</f>
        <v>0</v>
      </c>
      <c r="AW355" s="899">
        <f t="shared" si="23"/>
        <v>0</v>
      </c>
      <c r="AX355" s="899">
        <f>INDEX(V355:AG355,1,MATCH(Parametres!$B$3,V$1:AG$1,0))*IF(OR(C355="L",C355="S",C355="I"),-1,1)</f>
        <v>0</v>
      </c>
      <c r="AY355" s="487" t="s">
        <v>337</v>
      </c>
      <c r="AZ355" s="487" t="e">
        <f>+VLOOKUP($AJ355,Data_Validation!$A:$E,5,0)</f>
        <v>#N/A</v>
      </c>
    </row>
    <row r="356" spans="36:52" ht="15" customHeight="1">
      <c r="AJ356" s="899">
        <f t="shared" si="20"/>
        <v>0</v>
      </c>
      <c r="AK356" s="899">
        <f t="shared" si="20"/>
        <v>0</v>
      </c>
      <c r="AL356" s="905">
        <f>IFERROR(INDEX(G356:R356,1,MATCH(Parametres!$B$3,G$1:R$1,0)-1)*IF(OR(F356="L",F356="S",F356="I"),-1,1),"")</f>
        <v>0</v>
      </c>
      <c r="AM356" s="905">
        <f t="shared" si="21"/>
        <v>0</v>
      </c>
      <c r="AN356" s="905">
        <f>INDEX(G356:R356,1,MATCH(Parametres!$B$3,G$1:R$1,0))*IF(OR(F356="L",F356="S",F356="I"),-1,1)</f>
        <v>0</v>
      </c>
      <c r="AO356" s="487" t="e">
        <f>+VLOOKUP($AJ356,Data_Validation!$A:$D,1,0)</f>
        <v>#N/A</v>
      </c>
      <c r="AP356" s="487" t="e">
        <f>+VLOOKUP($AJ356,Data_Validation!$A:$D,3,0)</f>
        <v>#N/A</v>
      </c>
      <c r="AQ356" s="487" t="e">
        <f>+VLOOKUP($AJ356,Data_Validation!$A:$D,4,0)</f>
        <v>#N/A</v>
      </c>
      <c r="AR356" s="487" t="s">
        <v>299</v>
      </c>
      <c r="AS356" s="487" t="e">
        <f>+VLOOKUP($AJ356,Data_Validation!$A:$E,5,0)</f>
        <v>#N/A</v>
      </c>
      <c r="AT356" s="904">
        <f t="shared" si="22"/>
        <v>0</v>
      </c>
      <c r="AU356" s="488">
        <f t="shared" si="22"/>
        <v>0</v>
      </c>
      <c r="AV356" s="899">
        <f>IFERROR(INDEX(V356:AG356,1,MATCH(Parametres!$B$3,V$1:AG$1,0)-1)*IF(OR(C356="L",C356="S",C356="I"),-1,1),"")</f>
        <v>0</v>
      </c>
      <c r="AW356" s="899">
        <f t="shared" si="23"/>
        <v>0</v>
      </c>
      <c r="AX356" s="899">
        <f>INDEX(V356:AG356,1,MATCH(Parametres!$B$3,V$1:AG$1,0))*IF(OR(C356="L",C356="S",C356="I"),-1,1)</f>
        <v>0</v>
      </c>
      <c r="AY356" s="487" t="s">
        <v>337</v>
      </c>
      <c r="AZ356" s="487" t="e">
        <f>+VLOOKUP($AJ356,Data_Validation!$A:$E,5,0)</f>
        <v>#N/A</v>
      </c>
    </row>
    <row r="357" spans="36:52" ht="15" customHeight="1">
      <c r="AJ357" s="899">
        <f t="shared" si="20"/>
        <v>0</v>
      </c>
      <c r="AK357" s="899">
        <f t="shared" si="20"/>
        <v>0</v>
      </c>
      <c r="AL357" s="905">
        <f>IFERROR(INDEX(G357:R357,1,MATCH(Parametres!$B$3,G$1:R$1,0)-1)*IF(OR(F357="L",F357="S",F357="I"),-1,1),"")</f>
        <v>0</v>
      </c>
      <c r="AM357" s="905">
        <f t="shared" si="21"/>
        <v>0</v>
      </c>
      <c r="AN357" s="905">
        <f>INDEX(G357:R357,1,MATCH(Parametres!$B$3,G$1:R$1,0))*IF(OR(F357="L",F357="S",F357="I"),-1,1)</f>
        <v>0</v>
      </c>
      <c r="AO357" s="487" t="e">
        <f>+VLOOKUP($AJ357,Data_Validation!$A:$D,1,0)</f>
        <v>#N/A</v>
      </c>
      <c r="AP357" s="487" t="e">
        <f>+VLOOKUP($AJ357,Data_Validation!$A:$D,3,0)</f>
        <v>#N/A</v>
      </c>
      <c r="AQ357" s="487" t="e">
        <f>+VLOOKUP($AJ357,Data_Validation!$A:$D,4,0)</f>
        <v>#N/A</v>
      </c>
      <c r="AR357" s="487" t="s">
        <v>299</v>
      </c>
      <c r="AS357" s="487" t="e">
        <f>+VLOOKUP($AJ357,Data_Validation!$A:$E,5,0)</f>
        <v>#N/A</v>
      </c>
      <c r="AT357" s="904">
        <f t="shared" si="22"/>
        <v>0</v>
      </c>
      <c r="AU357" s="488">
        <f t="shared" si="22"/>
        <v>0</v>
      </c>
      <c r="AV357" s="899">
        <f>IFERROR(INDEX(V357:AG357,1,MATCH(Parametres!$B$3,V$1:AG$1,0)-1)*IF(OR(C357="L",C357="S",C357="I"),-1,1),"")</f>
        <v>0</v>
      </c>
      <c r="AW357" s="899">
        <f t="shared" si="23"/>
        <v>0</v>
      </c>
      <c r="AX357" s="899">
        <f>INDEX(V357:AG357,1,MATCH(Parametres!$B$3,V$1:AG$1,0))*IF(OR(C357="L",C357="S",C357="I"),-1,1)</f>
        <v>0</v>
      </c>
      <c r="AY357" s="487" t="s">
        <v>337</v>
      </c>
      <c r="AZ357" s="487" t="e">
        <f>+VLOOKUP($AJ357,Data_Validation!$A:$E,5,0)</f>
        <v>#N/A</v>
      </c>
    </row>
    <row r="358" spans="36:52" ht="15.75" customHeight="1">
      <c r="AJ358" s="899">
        <f t="shared" si="20"/>
        <v>0</v>
      </c>
      <c r="AK358" s="899">
        <f t="shared" si="20"/>
        <v>0</v>
      </c>
      <c r="AL358" s="905">
        <f>IFERROR(INDEX(G358:R358,1,MATCH(Parametres!$B$3,G$1:R$1,0)-1)*IF(OR(F358="L",F358="S",F358="I"),-1,1),"")</f>
        <v>0</v>
      </c>
      <c r="AM358" s="905">
        <f t="shared" si="21"/>
        <v>0</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f t="shared" si="22"/>
        <v>0</v>
      </c>
      <c r="AU358" s="488">
        <f t="shared" si="22"/>
        <v>0</v>
      </c>
      <c r="AV358" s="899">
        <f>IFERROR(INDEX(V358:AG358,1,MATCH(Parametres!$B$3,V$1:AG$1,0)-1)*IF(OR(C358="L",C358="S",C358="I"),-1,1),"")</f>
        <v>0</v>
      </c>
      <c r="AW358" s="899">
        <f t="shared" si="23"/>
        <v>0</v>
      </c>
      <c r="AX358" s="899">
        <f>INDEX(V358:AG358,1,MATCH(Parametres!$B$3,V$1:AG$1,0))*IF(OR(C358="L",C358="S",C358="I"),-1,1)</f>
        <v>0</v>
      </c>
      <c r="AY358" s="487" t="s">
        <v>337</v>
      </c>
      <c r="AZ358" s="487" t="e">
        <f>+VLOOKUP($AJ358,Data_Validation!$A:$E,5,0)</f>
        <v>#N/A</v>
      </c>
    </row>
    <row r="359" spans="36:52" ht="15" customHeight="1">
      <c r="AJ359" s="899">
        <f t="shared" si="20"/>
        <v>0</v>
      </c>
      <c r="AK359" s="899">
        <f t="shared" si="20"/>
        <v>0</v>
      </c>
      <c r="AL359" s="905">
        <f>IFERROR(INDEX(G359:R359,1,MATCH(Parametres!$B$3,G$1:R$1,0)-1)*IF(OR(F359="L",F359="S",F359="I"),-1,1),"")</f>
        <v>0</v>
      </c>
      <c r="AM359" s="905">
        <f t="shared" si="21"/>
        <v>0</v>
      </c>
      <c r="AN359" s="905">
        <f>INDEX(G359:R359,1,MATCH(Parametres!$B$3,G$1:R$1,0))*IF(OR(F359="L",F359="S",F359="I"),-1,1)</f>
        <v>0</v>
      </c>
      <c r="AO359" s="487" t="e">
        <f>+VLOOKUP($AJ359,Data_Validation!$A:$D,1,0)</f>
        <v>#N/A</v>
      </c>
      <c r="AP359" s="487" t="e">
        <f>+VLOOKUP($AJ359,Data_Validation!$A:$D,3,0)</f>
        <v>#N/A</v>
      </c>
      <c r="AQ359" s="487" t="e">
        <f>+VLOOKUP($AJ359,Data_Validation!$A:$D,4,0)</f>
        <v>#N/A</v>
      </c>
      <c r="AR359" s="487" t="s">
        <v>299</v>
      </c>
      <c r="AS359" s="487" t="e">
        <f>+VLOOKUP($AJ359,Data_Validation!$A:$E,5,0)</f>
        <v>#N/A</v>
      </c>
      <c r="AT359" s="904">
        <f t="shared" si="22"/>
        <v>0</v>
      </c>
      <c r="AU359" s="488">
        <f t="shared" si="22"/>
        <v>0</v>
      </c>
      <c r="AV359" s="899">
        <f>IFERROR(INDEX(V359:AG359,1,MATCH(Parametres!$B$3,V$1:AG$1,0)-1)*IF(OR(C359="L",C359="S",C359="I"),-1,1),"")</f>
        <v>0</v>
      </c>
      <c r="AW359" s="899">
        <f t="shared" si="23"/>
        <v>0</v>
      </c>
      <c r="AX359" s="899">
        <f>INDEX(V359:AG359,1,MATCH(Parametres!$B$3,V$1:AG$1,0))*IF(OR(C359="L",C359="S",C359="I"),-1,1)</f>
        <v>0</v>
      </c>
      <c r="AY359" s="487" t="s">
        <v>337</v>
      </c>
      <c r="AZ359" s="487" t="e">
        <f>+VLOOKUP($AJ359,Data_Validation!$A:$E,5,0)</f>
        <v>#N/A</v>
      </c>
    </row>
    <row r="360" spans="36:52" ht="15" customHeight="1">
      <c r="AJ360" s="899">
        <f t="shared" si="20"/>
        <v>0</v>
      </c>
      <c r="AK360" s="899">
        <f t="shared" si="20"/>
        <v>0</v>
      </c>
      <c r="AL360" s="905">
        <f>IFERROR(INDEX(G360:R360,1,MATCH(Parametres!$B$3,G$1:R$1,0)-1)*IF(OR(F360="L",F360="S",F360="I"),-1,1),"")</f>
        <v>0</v>
      </c>
      <c r="AM360" s="905">
        <f t="shared" si="21"/>
        <v>0</v>
      </c>
      <c r="AN360" s="905">
        <f>INDEX(G360:R360,1,MATCH(Parametres!$B$3,G$1:R$1,0))*IF(OR(F360="L",F360="S",F360="I"),-1,1)</f>
        <v>0</v>
      </c>
      <c r="AO360" s="487" t="e">
        <f>+VLOOKUP($AJ360,Data_Validation!$A:$D,1,0)</f>
        <v>#N/A</v>
      </c>
      <c r="AP360" s="487" t="e">
        <f>+VLOOKUP($AJ360,Data_Validation!$A:$D,3,0)</f>
        <v>#N/A</v>
      </c>
      <c r="AQ360" s="487" t="e">
        <f>+VLOOKUP($AJ360,Data_Validation!$A:$D,4,0)</f>
        <v>#N/A</v>
      </c>
      <c r="AR360" s="487" t="s">
        <v>299</v>
      </c>
      <c r="AS360" s="487" t="e">
        <f>+VLOOKUP($AJ360,Data_Validation!$A:$E,5,0)</f>
        <v>#N/A</v>
      </c>
      <c r="AT360" s="904">
        <f t="shared" si="22"/>
        <v>0</v>
      </c>
      <c r="AU360" s="488">
        <f t="shared" si="22"/>
        <v>0</v>
      </c>
      <c r="AV360" s="899">
        <f>IFERROR(INDEX(V360:AG360,1,MATCH(Parametres!$B$3,V$1:AG$1,0)-1)*IF(OR(C360="L",C360="S",C360="I"),-1,1),"")</f>
        <v>0</v>
      </c>
      <c r="AW360" s="899">
        <f t="shared" si="23"/>
        <v>0</v>
      </c>
      <c r="AX360" s="899">
        <f>INDEX(V360:AG360,1,MATCH(Parametres!$B$3,V$1:AG$1,0))*IF(OR(C360="L",C360="S",C360="I"),-1,1)</f>
        <v>0</v>
      </c>
      <c r="AY360" s="487" t="s">
        <v>337</v>
      </c>
      <c r="AZ360" s="487" t="e">
        <f>+VLOOKUP($AJ360,Data_Validation!$A:$E,5,0)</f>
        <v>#N/A</v>
      </c>
    </row>
    <row r="361" spans="36:52" ht="15" customHeight="1">
      <c r="AJ361" s="899">
        <f t="shared" si="20"/>
        <v>0</v>
      </c>
      <c r="AK361" s="899">
        <f t="shared" si="20"/>
        <v>0</v>
      </c>
      <c r="AL361" s="905">
        <f>IFERROR(INDEX(G361:R361,1,MATCH(Parametres!$B$3,G$1:R$1,0)-1)*IF(OR(F361="L",F361="S",F361="I"),-1,1),"")</f>
        <v>0</v>
      </c>
      <c r="AM361" s="905">
        <f t="shared" si="21"/>
        <v>0</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f t="shared" si="22"/>
        <v>0</v>
      </c>
      <c r="AU361" s="488">
        <f t="shared" si="22"/>
        <v>0</v>
      </c>
      <c r="AV361" s="899">
        <f>IFERROR(INDEX(V361:AG361,1,MATCH(Parametres!$B$3,V$1:AG$1,0)-1)*IF(OR(C361="L",C361="S",C361="I"),-1,1),"")</f>
        <v>0</v>
      </c>
      <c r="AW361" s="899">
        <f t="shared" si="23"/>
        <v>0</v>
      </c>
      <c r="AX361" s="899">
        <f>INDEX(V361:AG361,1,MATCH(Parametres!$B$3,V$1:AG$1,0))*IF(OR(C361="L",C361="S",C361="I"),-1,1)</f>
        <v>0</v>
      </c>
      <c r="AY361" s="487" t="s">
        <v>337</v>
      </c>
      <c r="AZ361" s="487" t="e">
        <f>+VLOOKUP($AJ361,Data_Validation!$A:$E,5,0)</f>
        <v>#N/A</v>
      </c>
    </row>
    <row r="362" spans="36:52" ht="15.75" customHeight="1">
      <c r="AJ362" s="899">
        <f t="shared" si="20"/>
        <v>0</v>
      </c>
      <c r="AK362" s="899">
        <f t="shared" si="20"/>
        <v>0</v>
      </c>
      <c r="AL362" s="905">
        <f>IFERROR(INDEX(G362:R362,1,MATCH(Parametres!$B$3,G$1:R$1,0)-1)*IF(OR(F362="L",F362="S",F362="I"),-1,1),"")</f>
        <v>0</v>
      </c>
      <c r="AM362" s="905">
        <f t="shared" si="21"/>
        <v>0</v>
      </c>
      <c r="AN362" s="905">
        <f>INDEX(G362:R362,1,MATCH(Parametres!$B$3,G$1:R$1,0))*IF(OR(F362="L",F362="S",F362="I"),-1,1)</f>
        <v>0</v>
      </c>
      <c r="AO362" s="487" t="e">
        <f>+VLOOKUP($AJ362,Data_Validation!$A:$D,1,0)</f>
        <v>#N/A</v>
      </c>
      <c r="AP362" s="487" t="e">
        <f>+VLOOKUP($AJ362,Data_Validation!$A:$D,3,0)</f>
        <v>#N/A</v>
      </c>
      <c r="AQ362" s="487" t="e">
        <f>+VLOOKUP($AJ362,Data_Validation!$A:$D,4,0)</f>
        <v>#N/A</v>
      </c>
      <c r="AR362" s="487" t="s">
        <v>299</v>
      </c>
      <c r="AS362" s="487" t="e">
        <f>+VLOOKUP($AJ362,Data_Validation!$A:$E,5,0)</f>
        <v>#N/A</v>
      </c>
      <c r="AT362" s="904">
        <f t="shared" si="22"/>
        <v>0</v>
      </c>
      <c r="AU362" s="488">
        <f t="shared" si="22"/>
        <v>0</v>
      </c>
      <c r="AV362" s="899">
        <f>IFERROR(INDEX(V362:AG362,1,MATCH(Parametres!$B$3,V$1:AG$1,0)-1)*IF(OR(C362="L",C362="S",C362="I"),-1,1),"")</f>
        <v>0</v>
      </c>
      <c r="AW362" s="899">
        <f t="shared" si="23"/>
        <v>0</v>
      </c>
      <c r="AX362" s="899">
        <f>INDEX(V362:AG362,1,MATCH(Parametres!$B$3,V$1:AG$1,0))*IF(OR(C362="L",C362="S",C362="I"),-1,1)</f>
        <v>0</v>
      </c>
      <c r="AY362" s="487" t="s">
        <v>337</v>
      </c>
      <c r="AZ362" s="487" t="e">
        <f>+VLOOKUP($AJ362,Data_Validation!$A:$E,5,0)</f>
        <v>#N/A</v>
      </c>
    </row>
    <row r="363" spans="36:52" ht="15.75" customHeight="1">
      <c r="AJ363" s="899">
        <f t="shared" si="20"/>
        <v>0</v>
      </c>
      <c r="AK363" s="899">
        <f t="shared" si="20"/>
        <v>0</v>
      </c>
      <c r="AL363" s="905">
        <f>IFERROR(INDEX(G363:R363,1,MATCH(Parametres!$B$3,G$1:R$1,0)-1)*IF(OR(F363="L",F363="S",F363="I"),-1,1),"")</f>
        <v>0</v>
      </c>
      <c r="AM363" s="905">
        <f t="shared" si="21"/>
        <v>0</v>
      </c>
      <c r="AN363" s="905">
        <f>INDEX(G363:R363,1,MATCH(Parametres!$B$3,G$1:R$1,0))*IF(OR(F363="L",F363="S",F363="I"),-1,1)</f>
        <v>0</v>
      </c>
      <c r="AO363" s="487" t="e">
        <f>+VLOOKUP($AJ363,Data_Validation!$A:$D,1,0)</f>
        <v>#N/A</v>
      </c>
      <c r="AP363" s="487" t="e">
        <f>+VLOOKUP($AJ363,Data_Validation!$A:$D,3,0)</f>
        <v>#N/A</v>
      </c>
      <c r="AQ363" s="487" t="e">
        <f>+VLOOKUP($AJ363,Data_Validation!$A:$D,4,0)</f>
        <v>#N/A</v>
      </c>
      <c r="AR363" s="487" t="s">
        <v>299</v>
      </c>
      <c r="AS363" s="487" t="e">
        <f>+VLOOKUP($AJ363,Data_Validation!$A:$E,5,0)</f>
        <v>#N/A</v>
      </c>
      <c r="AT363" s="904">
        <f t="shared" si="22"/>
        <v>0</v>
      </c>
      <c r="AU363" s="488">
        <f t="shared" si="22"/>
        <v>0</v>
      </c>
      <c r="AV363" s="899">
        <f>IFERROR(INDEX(V363:AG363,1,MATCH(Parametres!$B$3,V$1:AG$1,0)-1)*IF(OR(C363="L",C363="S",C363="I"),-1,1),"")</f>
        <v>0</v>
      </c>
      <c r="AW363" s="899">
        <f t="shared" si="23"/>
        <v>0</v>
      </c>
      <c r="AX363" s="899">
        <f>INDEX(V363:AG363,1,MATCH(Parametres!$B$3,V$1:AG$1,0))*IF(OR(C363="L",C363="S",C363="I"),-1,1)</f>
        <v>0</v>
      </c>
      <c r="AY363" s="487" t="s">
        <v>337</v>
      </c>
      <c r="AZ363" s="487" t="e">
        <f>+VLOOKUP($AJ363,Data_Validation!$A:$E,5,0)</f>
        <v>#N/A</v>
      </c>
    </row>
    <row r="364" spans="36:52" ht="15" customHeight="1">
      <c r="AJ364" s="899">
        <f t="shared" si="20"/>
        <v>0</v>
      </c>
      <c r="AK364" s="899">
        <f t="shared" si="20"/>
        <v>0</v>
      </c>
      <c r="AL364" s="905">
        <f>IFERROR(INDEX(G364:R364,1,MATCH(Parametres!$B$3,G$1:R$1,0)-1)*IF(OR(F364="L",F364="S",F364="I"),-1,1),"")</f>
        <v>0</v>
      </c>
      <c r="AM364" s="905">
        <f t="shared" si="21"/>
        <v>0</v>
      </c>
      <c r="AN364" s="905">
        <f>INDEX(G364:R364,1,MATCH(Parametres!$B$3,G$1:R$1,0))*IF(OR(F364="L",F364="S",F364="I"),-1,1)</f>
        <v>0</v>
      </c>
      <c r="AO364" s="487" t="e">
        <f>+VLOOKUP($AJ364,Data_Validation!$A:$D,1,0)</f>
        <v>#N/A</v>
      </c>
      <c r="AP364" s="487" t="e">
        <f>+VLOOKUP($AJ364,Data_Validation!$A:$D,3,0)</f>
        <v>#N/A</v>
      </c>
      <c r="AQ364" s="487" t="e">
        <f>+VLOOKUP($AJ364,Data_Validation!$A:$D,4,0)</f>
        <v>#N/A</v>
      </c>
      <c r="AR364" s="487" t="s">
        <v>299</v>
      </c>
      <c r="AS364" s="487" t="e">
        <f>+VLOOKUP($AJ364,Data_Validation!$A:$E,5,0)</f>
        <v>#N/A</v>
      </c>
      <c r="AT364" s="904">
        <f t="shared" si="22"/>
        <v>0</v>
      </c>
      <c r="AU364" s="488">
        <f t="shared" si="22"/>
        <v>0</v>
      </c>
      <c r="AV364" s="899">
        <f>IFERROR(INDEX(V364:AG364,1,MATCH(Parametres!$B$3,V$1:AG$1,0)-1)*IF(OR(C364="L",C364="S",C364="I"),-1,1),"")</f>
        <v>0</v>
      </c>
      <c r="AW364" s="899">
        <f t="shared" si="23"/>
        <v>0</v>
      </c>
      <c r="AX364" s="899">
        <f>INDEX(V364:AG364,1,MATCH(Parametres!$B$3,V$1:AG$1,0))*IF(OR(C364="L",C364="S",C364="I"),-1,1)</f>
        <v>0</v>
      </c>
      <c r="AY364" s="487" t="s">
        <v>337</v>
      </c>
      <c r="AZ364" s="487" t="e">
        <f>+VLOOKUP($AJ364,Data_Validation!$A:$E,5,0)</f>
        <v>#N/A</v>
      </c>
    </row>
    <row r="365" spans="36:52" ht="15.75" customHeight="1">
      <c r="AJ365" s="899">
        <f t="shared" si="20"/>
        <v>0</v>
      </c>
      <c r="AK365" s="899">
        <f t="shared" si="20"/>
        <v>0</v>
      </c>
      <c r="AL365" s="905">
        <f>IFERROR(INDEX(G365:R365,1,MATCH(Parametres!$B$3,G$1:R$1,0)-1)*IF(OR(F365="L",F365="S",F365="I"),-1,1),"")</f>
        <v>0</v>
      </c>
      <c r="AM365" s="905">
        <f t="shared" si="21"/>
        <v>0</v>
      </c>
      <c r="AN365" s="905">
        <f>INDEX(G365:R365,1,MATCH(Parametres!$B$3,G$1:R$1,0))*IF(OR(F365="L",F365="S",F365="I"),-1,1)</f>
        <v>0</v>
      </c>
      <c r="AO365" s="487" t="e">
        <f>+VLOOKUP($AJ365,Data_Validation!$A:$D,1,0)</f>
        <v>#N/A</v>
      </c>
      <c r="AP365" s="487" t="e">
        <f>+VLOOKUP($AJ365,Data_Validation!$A:$D,3,0)</f>
        <v>#N/A</v>
      </c>
      <c r="AQ365" s="487" t="e">
        <f>+VLOOKUP($AJ365,Data_Validation!$A:$D,4,0)</f>
        <v>#N/A</v>
      </c>
      <c r="AR365" s="487" t="s">
        <v>299</v>
      </c>
      <c r="AS365" s="487" t="e">
        <f>+VLOOKUP($AJ365,Data_Validation!$A:$E,5,0)</f>
        <v>#N/A</v>
      </c>
      <c r="AT365" s="904">
        <f t="shared" si="22"/>
        <v>0</v>
      </c>
      <c r="AU365" s="488">
        <f t="shared" si="22"/>
        <v>0</v>
      </c>
      <c r="AV365" s="899">
        <f>IFERROR(INDEX(V365:AG365,1,MATCH(Parametres!$B$3,V$1:AG$1,0)-1)*IF(OR(C365="L",C365="S",C365="I"),-1,1),"")</f>
        <v>0</v>
      </c>
      <c r="AW365" s="899">
        <f t="shared" si="23"/>
        <v>0</v>
      </c>
      <c r="AX365" s="899">
        <f>INDEX(V365:AG365,1,MATCH(Parametres!$B$3,V$1:AG$1,0))*IF(OR(C365="L",C365="S",C365="I"),-1,1)</f>
        <v>0</v>
      </c>
      <c r="AY365" s="487" t="s">
        <v>337</v>
      </c>
      <c r="AZ365" s="487" t="e">
        <f>+VLOOKUP($AJ365,Data_Validation!$A:$E,5,0)</f>
        <v>#N/A</v>
      </c>
    </row>
    <row r="366" spans="36:52" ht="15.75" customHeight="1">
      <c r="AJ366" s="899">
        <f t="shared" si="20"/>
        <v>0</v>
      </c>
      <c r="AK366" s="899">
        <f t="shared" si="20"/>
        <v>0</v>
      </c>
      <c r="AL366" s="905">
        <f>IFERROR(INDEX(G366:R366,1,MATCH(Parametres!$B$3,G$1:R$1,0)-1)*IF(OR(F366="L",F366="S",F366="I"),-1,1),"")</f>
        <v>0</v>
      </c>
      <c r="AM366" s="905">
        <f t="shared" si="21"/>
        <v>0</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f t="shared" si="22"/>
        <v>0</v>
      </c>
      <c r="AU366" s="488">
        <f t="shared" si="22"/>
        <v>0</v>
      </c>
      <c r="AV366" s="899">
        <f>IFERROR(INDEX(V366:AG366,1,MATCH(Parametres!$B$3,V$1:AG$1,0)-1)*IF(OR(C366="L",C366="S",C366="I"),-1,1),"")</f>
        <v>0</v>
      </c>
      <c r="AW366" s="899">
        <f t="shared" si="23"/>
        <v>0</v>
      </c>
      <c r="AX366" s="899">
        <f>INDEX(V366:AG366,1,MATCH(Parametres!$B$3,V$1:AG$1,0))*IF(OR(C366="L",C366="S",C366="I"),-1,1)</f>
        <v>0</v>
      </c>
      <c r="AY366" s="487" t="s">
        <v>337</v>
      </c>
      <c r="AZ366" s="487" t="e">
        <f>+VLOOKUP($AJ366,Data_Validation!$A:$E,5,0)</f>
        <v>#N/A</v>
      </c>
    </row>
    <row r="367" spans="36:52" ht="15.75" customHeight="1">
      <c r="AJ367" s="899">
        <f t="shared" si="20"/>
        <v>0</v>
      </c>
      <c r="AK367" s="899">
        <f t="shared" si="20"/>
        <v>0</v>
      </c>
      <c r="AL367" s="905">
        <f>IFERROR(INDEX(G367:R367,1,MATCH(Parametres!$B$3,G$1:R$1,0)-1)*IF(OR(F367="L",F367="S",F367="I"),-1,1),"")</f>
        <v>0</v>
      </c>
      <c r="AM367" s="905">
        <f t="shared" si="21"/>
        <v>0</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f t="shared" si="22"/>
        <v>0</v>
      </c>
      <c r="AU367" s="488">
        <f t="shared" si="22"/>
        <v>0</v>
      </c>
      <c r="AV367" s="899">
        <f>IFERROR(INDEX(V367:AG367,1,MATCH(Parametres!$B$3,V$1:AG$1,0)-1)*IF(OR(C367="L",C367="S",C367="I"),-1,1),"")</f>
        <v>0</v>
      </c>
      <c r="AW367" s="899">
        <f t="shared" si="23"/>
        <v>0</v>
      </c>
      <c r="AX367" s="899">
        <f>INDEX(V367:AG367,1,MATCH(Parametres!$B$3,V$1:AG$1,0))*IF(OR(C367="L",C367="S",C367="I"),-1,1)</f>
        <v>0</v>
      </c>
      <c r="AY367" s="487" t="s">
        <v>337</v>
      </c>
      <c r="AZ367" s="487" t="e">
        <f>+VLOOKUP($AJ367,Data_Validation!$A:$E,5,0)</f>
        <v>#N/A</v>
      </c>
    </row>
    <row r="368" spans="36:52" ht="15.75" customHeight="1">
      <c r="AJ368" s="899">
        <f t="shared" si="20"/>
        <v>0</v>
      </c>
      <c r="AK368" s="899">
        <f t="shared" si="20"/>
        <v>0</v>
      </c>
      <c r="AL368" s="905">
        <f>IFERROR(INDEX(G368:R368,1,MATCH(Parametres!$B$3,G$1:R$1,0)-1)*IF(OR(F368="L",F368="S",F368="I"),-1,1),"")</f>
        <v>0</v>
      </c>
      <c r="AM368" s="905">
        <f t="shared" si="21"/>
        <v>0</v>
      </c>
      <c r="AN368" s="905">
        <f>INDEX(G368:R368,1,MATCH(Parametres!$B$3,G$1:R$1,0))*IF(OR(F368="L",F368="S",F368="I"),-1,1)</f>
        <v>0</v>
      </c>
      <c r="AO368" s="487" t="e">
        <f>+VLOOKUP($AJ368,Data_Validation!$A:$D,1,0)</f>
        <v>#N/A</v>
      </c>
      <c r="AP368" s="487" t="e">
        <f>+VLOOKUP($AJ368,Data_Validation!$A:$D,3,0)</f>
        <v>#N/A</v>
      </c>
      <c r="AQ368" s="487" t="e">
        <f>+VLOOKUP($AJ368,Data_Validation!$A:$D,4,0)</f>
        <v>#N/A</v>
      </c>
      <c r="AR368" s="487" t="s">
        <v>299</v>
      </c>
      <c r="AS368" s="487" t="e">
        <f>+VLOOKUP($AJ368,Data_Validation!$A:$E,5,0)</f>
        <v>#N/A</v>
      </c>
      <c r="AT368" s="904">
        <f t="shared" si="22"/>
        <v>0</v>
      </c>
      <c r="AU368" s="488">
        <f t="shared" si="22"/>
        <v>0</v>
      </c>
      <c r="AV368" s="899">
        <f>IFERROR(INDEX(V368:AG368,1,MATCH(Parametres!$B$3,V$1:AG$1,0)-1)*IF(OR(C368="L",C368="S",C368="I"),-1,1),"")</f>
        <v>0</v>
      </c>
      <c r="AW368" s="899">
        <f t="shared" si="23"/>
        <v>0</v>
      </c>
      <c r="AX368" s="899">
        <f>INDEX(V368:AG368,1,MATCH(Parametres!$B$3,V$1:AG$1,0))*IF(OR(C368="L",C368="S",C368="I"),-1,1)</f>
        <v>0</v>
      </c>
      <c r="AY368" s="487" t="s">
        <v>337</v>
      </c>
      <c r="AZ368" s="487" t="e">
        <f>+VLOOKUP($AJ368,Data_Validation!$A:$E,5,0)</f>
        <v>#N/A</v>
      </c>
    </row>
    <row r="369" spans="36:52" ht="15.75" customHeight="1">
      <c r="AJ369" s="899">
        <f t="shared" si="20"/>
        <v>0</v>
      </c>
      <c r="AK369" s="899">
        <f t="shared" si="20"/>
        <v>0</v>
      </c>
      <c r="AL369" s="905">
        <f>IFERROR(INDEX(G369:R369,1,MATCH(Parametres!$B$3,G$1:R$1,0)-1)*IF(OR(F369="L",F369="S",F369="I"),-1,1),"")</f>
        <v>0</v>
      </c>
      <c r="AM369" s="905">
        <f t="shared" si="21"/>
        <v>0</v>
      </c>
      <c r="AN369" s="905">
        <f>INDEX(G369:R369,1,MATCH(Parametres!$B$3,G$1:R$1,0))*IF(OR(F369="L",F369="S",F369="I"),-1,1)</f>
        <v>0</v>
      </c>
      <c r="AO369" s="487" t="e">
        <f>+VLOOKUP($AJ369,Data_Validation!$A:$D,1,0)</f>
        <v>#N/A</v>
      </c>
      <c r="AP369" s="487" t="e">
        <f>+VLOOKUP($AJ369,Data_Validation!$A:$D,3,0)</f>
        <v>#N/A</v>
      </c>
      <c r="AQ369" s="487" t="e">
        <f>+VLOOKUP($AJ369,Data_Validation!$A:$D,4,0)</f>
        <v>#N/A</v>
      </c>
      <c r="AR369" s="487" t="s">
        <v>299</v>
      </c>
      <c r="AS369" s="487" t="e">
        <f>+VLOOKUP($AJ369,Data_Validation!$A:$E,5,0)</f>
        <v>#N/A</v>
      </c>
      <c r="AT369" s="904">
        <f t="shared" si="22"/>
        <v>0</v>
      </c>
      <c r="AU369" s="488">
        <f t="shared" si="22"/>
        <v>0</v>
      </c>
      <c r="AV369" s="899">
        <f>IFERROR(INDEX(V369:AG369,1,MATCH(Parametres!$B$3,V$1:AG$1,0)-1)*IF(OR(C369="L",C369="S",C369="I"),-1,1),"")</f>
        <v>0</v>
      </c>
      <c r="AW369" s="899">
        <f t="shared" si="23"/>
        <v>0</v>
      </c>
      <c r="AX369" s="899">
        <f>INDEX(V369:AG369,1,MATCH(Parametres!$B$3,V$1:AG$1,0))*IF(OR(C369="L",C369="S",C369="I"),-1,1)</f>
        <v>0</v>
      </c>
      <c r="AY369" s="487" t="s">
        <v>337</v>
      </c>
      <c r="AZ369" s="487" t="e">
        <f>+VLOOKUP($AJ369,Data_Validation!$A:$E,5,0)</f>
        <v>#N/A</v>
      </c>
    </row>
    <row r="370" spans="36:52" ht="15.75" customHeight="1">
      <c r="AJ370" s="899">
        <f t="shared" si="20"/>
        <v>0</v>
      </c>
      <c r="AK370" s="899">
        <f t="shared" si="20"/>
        <v>0</v>
      </c>
      <c r="AL370" s="905">
        <f>IFERROR(INDEX(G370:R370,1,MATCH(Parametres!$B$3,G$1:R$1,0)-1)*IF(OR(F370="L",F370="S",F370="I"),-1,1),"")</f>
        <v>0</v>
      </c>
      <c r="AM370" s="905">
        <f t="shared" si="21"/>
        <v>0</v>
      </c>
      <c r="AN370" s="905">
        <f>INDEX(G370:R370,1,MATCH(Parametres!$B$3,G$1:R$1,0))*IF(OR(F370="L",F370="S",F370="I"),-1,1)</f>
        <v>0</v>
      </c>
      <c r="AO370" s="487" t="e">
        <f>+VLOOKUP($AJ370,Data_Validation!$A:$D,1,0)</f>
        <v>#N/A</v>
      </c>
      <c r="AP370" s="487" t="e">
        <f>+VLOOKUP($AJ370,Data_Validation!$A:$D,3,0)</f>
        <v>#N/A</v>
      </c>
      <c r="AQ370" s="487" t="e">
        <f>+VLOOKUP($AJ370,Data_Validation!$A:$D,4,0)</f>
        <v>#N/A</v>
      </c>
      <c r="AR370" s="487" t="s">
        <v>299</v>
      </c>
      <c r="AS370" s="487" t="e">
        <f>+VLOOKUP($AJ370,Data_Validation!$A:$E,5,0)</f>
        <v>#N/A</v>
      </c>
      <c r="AT370" s="904">
        <f t="shared" si="22"/>
        <v>0</v>
      </c>
      <c r="AU370" s="488">
        <f t="shared" si="22"/>
        <v>0</v>
      </c>
      <c r="AV370" s="899">
        <f>IFERROR(INDEX(V370:AG370,1,MATCH(Parametres!$B$3,V$1:AG$1,0)-1)*IF(OR(C370="L",C370="S",C370="I"),-1,1),"")</f>
        <v>0</v>
      </c>
      <c r="AW370" s="899">
        <f t="shared" si="23"/>
        <v>0</v>
      </c>
      <c r="AX370" s="899">
        <f>INDEX(V370:AG370,1,MATCH(Parametres!$B$3,V$1:AG$1,0))*IF(OR(C370="L",C370="S",C370="I"),-1,1)</f>
        <v>0</v>
      </c>
      <c r="AY370" s="487" t="s">
        <v>337</v>
      </c>
      <c r="AZ370" s="487" t="e">
        <f>+VLOOKUP($AJ370,Data_Validation!$A:$E,5,0)</f>
        <v>#N/A</v>
      </c>
    </row>
    <row r="371" spans="36:52" ht="15.75" customHeight="1">
      <c r="AJ371" s="899">
        <f t="shared" si="20"/>
        <v>0</v>
      </c>
      <c r="AK371" s="899">
        <f t="shared" si="20"/>
        <v>0</v>
      </c>
      <c r="AL371" s="905">
        <f>IFERROR(INDEX(G371:R371,1,MATCH(Parametres!$B$3,G$1:R$1,0)-1)*IF(OR(F371="L",F371="S",F371="I"),-1,1),"")</f>
        <v>0</v>
      </c>
      <c r="AM371" s="905">
        <f t="shared" si="21"/>
        <v>0</v>
      </c>
      <c r="AN371" s="905">
        <f>INDEX(G371:R371,1,MATCH(Parametres!$B$3,G$1:R$1,0))*IF(OR(F371="L",F371="S",F371="I"),-1,1)</f>
        <v>0</v>
      </c>
      <c r="AO371" s="487" t="e">
        <f>+VLOOKUP($AJ371,Data_Validation!$A:$D,1,0)</f>
        <v>#N/A</v>
      </c>
      <c r="AP371" s="487" t="e">
        <f>+VLOOKUP($AJ371,Data_Validation!$A:$D,3,0)</f>
        <v>#N/A</v>
      </c>
      <c r="AQ371" s="487" t="e">
        <f>+VLOOKUP($AJ371,Data_Validation!$A:$D,4,0)</f>
        <v>#N/A</v>
      </c>
      <c r="AR371" s="487" t="s">
        <v>299</v>
      </c>
      <c r="AS371" s="487" t="e">
        <f>+VLOOKUP($AJ371,Data_Validation!$A:$E,5,0)</f>
        <v>#N/A</v>
      </c>
      <c r="AT371" s="904">
        <f t="shared" si="22"/>
        <v>0</v>
      </c>
      <c r="AU371" s="488">
        <f t="shared" si="22"/>
        <v>0</v>
      </c>
      <c r="AV371" s="899">
        <f>IFERROR(INDEX(V371:AG371,1,MATCH(Parametres!$B$3,V$1:AG$1,0)-1)*IF(OR(C371="L",C371="S",C371="I"),-1,1),"")</f>
        <v>0</v>
      </c>
      <c r="AW371" s="899">
        <f t="shared" si="23"/>
        <v>0</v>
      </c>
      <c r="AX371" s="899">
        <f>INDEX(V371:AG371,1,MATCH(Parametres!$B$3,V$1:AG$1,0))*IF(OR(C371="L",C371="S",C371="I"),-1,1)</f>
        <v>0</v>
      </c>
      <c r="AY371" s="487" t="s">
        <v>337</v>
      </c>
      <c r="AZ371" s="487" t="e">
        <f>+VLOOKUP($AJ371,Data_Validation!$A:$E,5,0)</f>
        <v>#N/A</v>
      </c>
    </row>
    <row r="372" spans="36:52" ht="15.75" customHeight="1">
      <c r="AJ372" s="899">
        <f t="shared" si="20"/>
        <v>0</v>
      </c>
      <c r="AK372" s="899">
        <f t="shared" si="20"/>
        <v>0</v>
      </c>
      <c r="AL372" s="905">
        <f>IFERROR(INDEX(G372:R372,1,MATCH(Parametres!$B$3,G$1:R$1,0)-1)*IF(OR(F372="L",F372="S",F372="I"),-1,1),"")</f>
        <v>0</v>
      </c>
      <c r="AM372" s="905">
        <f t="shared" si="21"/>
        <v>0</v>
      </c>
      <c r="AN372" s="905">
        <f>INDEX(G372:R372,1,MATCH(Parametres!$B$3,G$1:R$1,0))*IF(OR(F372="L",F372="S",F372="I"),-1,1)</f>
        <v>0</v>
      </c>
      <c r="AO372" s="487" t="e">
        <f>+VLOOKUP($AJ372,Data_Validation!$A:$D,1,0)</f>
        <v>#N/A</v>
      </c>
      <c r="AP372" s="487" t="e">
        <f>+VLOOKUP($AJ372,Data_Validation!$A:$D,3,0)</f>
        <v>#N/A</v>
      </c>
      <c r="AQ372" s="487" t="e">
        <f>+VLOOKUP($AJ372,Data_Validation!$A:$D,4,0)</f>
        <v>#N/A</v>
      </c>
      <c r="AR372" s="487" t="s">
        <v>299</v>
      </c>
      <c r="AS372" s="487" t="e">
        <f>+VLOOKUP($AJ372,Data_Validation!$A:$E,5,0)</f>
        <v>#N/A</v>
      </c>
      <c r="AT372" s="904">
        <f t="shared" si="22"/>
        <v>0</v>
      </c>
      <c r="AU372" s="488">
        <f t="shared" si="22"/>
        <v>0</v>
      </c>
      <c r="AV372" s="899">
        <f>IFERROR(INDEX(V372:AG372,1,MATCH(Parametres!$B$3,V$1:AG$1,0)-1)*IF(OR(C372="L",C372="S",C372="I"),-1,1),"")</f>
        <v>0</v>
      </c>
      <c r="AW372" s="899">
        <f t="shared" si="23"/>
        <v>0</v>
      </c>
      <c r="AX372" s="899">
        <f>INDEX(V372:AG372,1,MATCH(Parametres!$B$3,V$1:AG$1,0))*IF(OR(C372="L",C372="S",C372="I"),-1,1)</f>
        <v>0</v>
      </c>
      <c r="AY372" s="487" t="s">
        <v>337</v>
      </c>
      <c r="AZ372" s="487" t="e">
        <f>+VLOOKUP($AJ372,Data_Validation!$A:$E,5,0)</f>
        <v>#N/A</v>
      </c>
    </row>
    <row r="373" spans="36:52" ht="15.75" customHeight="1">
      <c r="AJ373" s="899">
        <f t="shared" si="20"/>
        <v>0</v>
      </c>
      <c r="AK373" s="899">
        <f t="shared" si="20"/>
        <v>0</v>
      </c>
      <c r="AL373" s="905">
        <f>IFERROR(INDEX(G373:R373,1,MATCH(Parametres!$B$3,G$1:R$1,0)-1)*IF(OR(F373="L",F373="S",F373="I"),-1,1),"")</f>
        <v>0</v>
      </c>
      <c r="AM373" s="905">
        <f t="shared" si="21"/>
        <v>0</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f t="shared" si="22"/>
        <v>0</v>
      </c>
      <c r="AU373" s="488">
        <f t="shared" si="22"/>
        <v>0</v>
      </c>
      <c r="AV373" s="899">
        <f>IFERROR(INDEX(V373:AG373,1,MATCH(Parametres!$B$3,V$1:AG$1,0)-1)*IF(OR(C373="L",C373="S",C373="I"),-1,1),"")</f>
        <v>0</v>
      </c>
      <c r="AW373" s="899">
        <f t="shared" si="23"/>
        <v>0</v>
      </c>
      <c r="AX373" s="899">
        <f>INDEX(V373:AG373,1,MATCH(Parametres!$B$3,V$1:AG$1,0))*IF(OR(C373="L",C373="S",C373="I"),-1,1)</f>
        <v>0</v>
      </c>
      <c r="AY373" s="487" t="s">
        <v>337</v>
      </c>
      <c r="AZ373" s="487" t="e">
        <f>+VLOOKUP($AJ373,Data_Validation!$A:$E,5,0)</f>
        <v>#N/A</v>
      </c>
    </row>
    <row r="374" spans="36:52" ht="15.75" customHeight="1">
      <c r="AJ374" s="899">
        <f t="shared" si="20"/>
        <v>0</v>
      </c>
      <c r="AK374" s="899">
        <f t="shared" si="20"/>
        <v>0</v>
      </c>
      <c r="AL374" s="905">
        <f>IFERROR(INDEX(G374:R374,1,MATCH(Parametres!$B$3,G$1:R$1,0)-1)*IF(OR(F374="L",F374="S",F374="I"),-1,1),"")</f>
        <v>0</v>
      </c>
      <c r="AM374" s="905">
        <f t="shared" si="21"/>
        <v>0</v>
      </c>
      <c r="AN374" s="905">
        <f>INDEX(G374:R374,1,MATCH(Parametres!$B$3,G$1:R$1,0))*IF(OR(F374="L",F374="S",F374="I"),-1,1)</f>
        <v>0</v>
      </c>
      <c r="AO374" s="487" t="e">
        <f>+VLOOKUP($AJ374,Data_Validation!$A:$D,1,0)</f>
        <v>#N/A</v>
      </c>
      <c r="AP374" s="487" t="e">
        <f>+VLOOKUP($AJ374,Data_Validation!$A:$D,3,0)</f>
        <v>#N/A</v>
      </c>
      <c r="AQ374" s="487" t="e">
        <f>+VLOOKUP($AJ374,Data_Validation!$A:$D,4,0)</f>
        <v>#N/A</v>
      </c>
      <c r="AR374" s="487" t="s">
        <v>299</v>
      </c>
      <c r="AS374" s="487" t="e">
        <f>+VLOOKUP($AJ374,Data_Validation!$A:$E,5,0)</f>
        <v>#N/A</v>
      </c>
      <c r="AT374" s="904">
        <f t="shared" si="22"/>
        <v>0</v>
      </c>
      <c r="AU374" s="488">
        <f t="shared" si="22"/>
        <v>0</v>
      </c>
      <c r="AV374" s="899">
        <f>IFERROR(INDEX(V374:AG374,1,MATCH(Parametres!$B$3,V$1:AG$1,0)-1)*IF(OR(C374="L",C374="S",C374="I"),-1,1),"")</f>
        <v>0</v>
      </c>
      <c r="AW374" s="899">
        <f t="shared" si="23"/>
        <v>0</v>
      </c>
      <c r="AX374" s="899">
        <f>INDEX(V374:AG374,1,MATCH(Parametres!$B$3,V$1:AG$1,0))*IF(OR(C374="L",C374="S",C374="I"),-1,1)</f>
        <v>0</v>
      </c>
      <c r="AY374" s="487" t="s">
        <v>337</v>
      </c>
      <c r="AZ374" s="487" t="e">
        <f>+VLOOKUP($AJ374,Data_Validation!$A:$E,5,0)</f>
        <v>#N/A</v>
      </c>
    </row>
    <row r="375" spans="36:52" ht="15.75" customHeight="1">
      <c r="AJ375" s="899">
        <f t="shared" si="20"/>
        <v>0</v>
      </c>
      <c r="AK375" s="899">
        <f t="shared" si="20"/>
        <v>0</v>
      </c>
      <c r="AL375" s="905">
        <f>IFERROR(INDEX(G375:R375,1,MATCH(Parametres!$B$3,G$1:R$1,0)-1)*IF(OR(F375="L",F375="S",F375="I"),-1,1),"")</f>
        <v>0</v>
      </c>
      <c r="AM375" s="905">
        <f t="shared" si="21"/>
        <v>0</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f t="shared" si="22"/>
        <v>0</v>
      </c>
      <c r="AU375" s="488">
        <f t="shared" si="22"/>
        <v>0</v>
      </c>
      <c r="AV375" s="899">
        <f>IFERROR(INDEX(V375:AG375,1,MATCH(Parametres!$B$3,V$1:AG$1,0)-1)*IF(OR(C375="L",C375="S",C375="I"),-1,1),"")</f>
        <v>0</v>
      </c>
      <c r="AW375" s="899">
        <f t="shared" si="23"/>
        <v>0</v>
      </c>
      <c r="AX375" s="899">
        <f>INDEX(V375:AG375,1,MATCH(Parametres!$B$3,V$1:AG$1,0))*IF(OR(C375="L",C375="S",C375="I"),-1,1)</f>
        <v>0</v>
      </c>
      <c r="AY375" s="487" t="s">
        <v>337</v>
      </c>
      <c r="AZ375" s="487" t="e">
        <f>+VLOOKUP($AJ375,Data_Validation!$A:$E,5,0)</f>
        <v>#N/A</v>
      </c>
    </row>
    <row r="376" spans="36:52" ht="15.75" customHeight="1">
      <c r="AJ376" s="899">
        <f t="shared" si="20"/>
        <v>0</v>
      </c>
      <c r="AK376" s="899">
        <f t="shared" si="20"/>
        <v>0</v>
      </c>
      <c r="AL376" s="905">
        <f>IFERROR(INDEX(G376:R376,1,MATCH(Parametres!$B$3,G$1:R$1,0)-1)*IF(OR(F376="L",F376="S",F376="I"),-1,1),"")</f>
        <v>0</v>
      </c>
      <c r="AM376" s="905">
        <f t="shared" si="21"/>
        <v>0</v>
      </c>
      <c r="AN376" s="905">
        <f>INDEX(G376:R376,1,MATCH(Parametres!$B$3,G$1:R$1,0))*IF(OR(F376="L",F376="S",F376="I"),-1,1)</f>
        <v>0</v>
      </c>
      <c r="AO376" s="487" t="e">
        <f>+VLOOKUP($AJ376,Data_Validation!$A:$D,1,0)</f>
        <v>#N/A</v>
      </c>
      <c r="AP376" s="487" t="e">
        <f>+VLOOKUP($AJ376,Data_Validation!$A:$D,3,0)</f>
        <v>#N/A</v>
      </c>
      <c r="AQ376" s="487" t="e">
        <f>+VLOOKUP($AJ376,Data_Validation!$A:$D,4,0)</f>
        <v>#N/A</v>
      </c>
      <c r="AR376" s="487" t="s">
        <v>299</v>
      </c>
      <c r="AS376" s="487" t="e">
        <f>+VLOOKUP($AJ376,Data_Validation!$A:$E,5,0)</f>
        <v>#N/A</v>
      </c>
      <c r="AT376" s="904">
        <f t="shared" si="22"/>
        <v>0</v>
      </c>
      <c r="AU376" s="488">
        <f t="shared" si="22"/>
        <v>0</v>
      </c>
      <c r="AV376" s="899">
        <f>IFERROR(INDEX(V376:AG376,1,MATCH(Parametres!$B$3,V$1:AG$1,0)-1)*IF(OR(C376="L",C376="S",C376="I"),-1,1),"")</f>
        <v>0</v>
      </c>
      <c r="AW376" s="899">
        <f t="shared" si="23"/>
        <v>0</v>
      </c>
      <c r="AX376" s="899">
        <f>INDEX(V376:AG376,1,MATCH(Parametres!$B$3,V$1:AG$1,0))*IF(OR(C376="L",C376="S",C376="I"),-1,1)</f>
        <v>0</v>
      </c>
      <c r="AY376" s="487" t="s">
        <v>337</v>
      </c>
      <c r="AZ376" s="487" t="e">
        <f>+VLOOKUP($AJ376,Data_Validation!$A:$E,5,0)</f>
        <v>#N/A</v>
      </c>
    </row>
    <row r="377" spans="36:52" ht="15.75" customHeight="1">
      <c r="AJ377" s="899">
        <f t="shared" si="20"/>
        <v>0</v>
      </c>
      <c r="AK377" s="899">
        <f t="shared" si="20"/>
        <v>0</v>
      </c>
      <c r="AL377" s="905">
        <f>IFERROR(INDEX(G377:R377,1,MATCH(Parametres!$B$3,G$1:R$1,0)-1)*IF(OR(F377="L",F377="S",F377="I"),-1,1),"")</f>
        <v>0</v>
      </c>
      <c r="AM377" s="905">
        <f t="shared" si="21"/>
        <v>0</v>
      </c>
      <c r="AN377" s="905">
        <f>INDEX(G377:R377,1,MATCH(Parametres!$B$3,G$1:R$1,0))*IF(OR(F377="L",F377="S",F377="I"),-1,1)</f>
        <v>0</v>
      </c>
      <c r="AO377" s="487" t="e">
        <f>+VLOOKUP($AJ377,Data_Validation!$A:$D,1,0)</f>
        <v>#N/A</v>
      </c>
      <c r="AP377" s="487" t="e">
        <f>+VLOOKUP($AJ377,Data_Validation!$A:$D,3,0)</f>
        <v>#N/A</v>
      </c>
      <c r="AQ377" s="487" t="e">
        <f>+VLOOKUP($AJ377,Data_Validation!$A:$D,4,0)</f>
        <v>#N/A</v>
      </c>
      <c r="AR377" s="487" t="s">
        <v>299</v>
      </c>
      <c r="AS377" s="487" t="e">
        <f>+VLOOKUP($AJ377,Data_Validation!$A:$E,5,0)</f>
        <v>#N/A</v>
      </c>
      <c r="AT377" s="904">
        <f t="shared" si="22"/>
        <v>0</v>
      </c>
      <c r="AU377" s="488">
        <f t="shared" si="22"/>
        <v>0</v>
      </c>
      <c r="AV377" s="899">
        <f>IFERROR(INDEX(V377:AG377,1,MATCH(Parametres!$B$3,V$1:AG$1,0)-1)*IF(OR(C377="L",C377="S",C377="I"),-1,1),"")</f>
        <v>0</v>
      </c>
      <c r="AW377" s="899">
        <f t="shared" si="23"/>
        <v>0</v>
      </c>
      <c r="AX377" s="899">
        <f>INDEX(V377:AG377,1,MATCH(Parametres!$B$3,V$1:AG$1,0))*IF(OR(C377="L",C377="S",C377="I"),-1,1)</f>
        <v>0</v>
      </c>
      <c r="AY377" s="487" t="s">
        <v>337</v>
      </c>
      <c r="AZ377" s="487" t="e">
        <f>+VLOOKUP($AJ377,Data_Validation!$A:$E,5,0)</f>
        <v>#N/A</v>
      </c>
    </row>
    <row r="378" spans="36:52" ht="15.75" customHeight="1">
      <c r="AJ378" s="899">
        <f t="shared" si="20"/>
        <v>0</v>
      </c>
      <c r="AK378" s="899">
        <f t="shared" si="20"/>
        <v>0</v>
      </c>
      <c r="AL378" s="905">
        <f>IFERROR(INDEX(G378:R378,1,MATCH(Parametres!$B$3,G$1:R$1,0)-1)*IF(OR(F378="L",F378="S",F378="I"),-1,1),"")</f>
        <v>0</v>
      </c>
      <c r="AM378" s="905">
        <f t="shared" si="21"/>
        <v>0</v>
      </c>
      <c r="AN378" s="905">
        <f>INDEX(G378:R378,1,MATCH(Parametres!$B$3,G$1:R$1,0))*IF(OR(F378="L",F378="S",F378="I"),-1,1)</f>
        <v>0</v>
      </c>
      <c r="AO378" s="487" t="e">
        <f>+VLOOKUP($AJ378,Data_Validation!$A:$D,1,0)</f>
        <v>#N/A</v>
      </c>
      <c r="AP378" s="487" t="e">
        <f>+VLOOKUP($AJ378,Data_Validation!$A:$D,3,0)</f>
        <v>#N/A</v>
      </c>
      <c r="AQ378" s="487" t="e">
        <f>+VLOOKUP($AJ378,Data_Validation!$A:$D,4,0)</f>
        <v>#N/A</v>
      </c>
      <c r="AR378" s="487" t="s">
        <v>299</v>
      </c>
      <c r="AS378" s="487" t="e">
        <f>+VLOOKUP($AJ378,Data_Validation!$A:$E,5,0)</f>
        <v>#N/A</v>
      </c>
      <c r="AT378" s="904">
        <f t="shared" si="22"/>
        <v>0</v>
      </c>
      <c r="AU378" s="488">
        <f t="shared" si="22"/>
        <v>0</v>
      </c>
      <c r="AV378" s="899">
        <f>IFERROR(INDEX(V378:AG378,1,MATCH(Parametres!$B$3,V$1:AG$1,0)-1)*IF(OR(C378="L",C378="S",C378="I"),-1,1),"")</f>
        <v>0</v>
      </c>
      <c r="AW378" s="899">
        <f t="shared" si="23"/>
        <v>0</v>
      </c>
      <c r="AX378" s="899">
        <f>INDEX(V378:AG378,1,MATCH(Parametres!$B$3,V$1:AG$1,0))*IF(OR(C378="L",C378="S",C378="I"),-1,1)</f>
        <v>0</v>
      </c>
      <c r="AY378" s="487" t="s">
        <v>337</v>
      </c>
      <c r="AZ378" s="487" t="e">
        <f>+VLOOKUP($AJ378,Data_Validation!$A:$E,5,0)</f>
        <v>#N/A</v>
      </c>
    </row>
    <row r="379" spans="36:52" ht="15.75" customHeight="1">
      <c r="AJ379" s="899">
        <f t="shared" si="20"/>
        <v>0</v>
      </c>
      <c r="AK379" s="899">
        <f t="shared" si="20"/>
        <v>0</v>
      </c>
      <c r="AL379" s="905">
        <f>IFERROR(INDEX(G379:R379,1,MATCH(Parametres!$B$3,G$1:R$1,0)-1)*IF(OR(F379="L",F379="S",F379="I"),-1,1),"")</f>
        <v>0</v>
      </c>
      <c r="AM379" s="905">
        <f t="shared" si="21"/>
        <v>0</v>
      </c>
      <c r="AN379" s="905">
        <f>INDEX(G379:R379,1,MATCH(Parametres!$B$3,G$1:R$1,0))*IF(OR(F379="L",F379="S",F379="I"),-1,1)</f>
        <v>0</v>
      </c>
      <c r="AO379" s="487" t="e">
        <f>+VLOOKUP($AJ379,Data_Validation!$A:$D,1,0)</f>
        <v>#N/A</v>
      </c>
      <c r="AP379" s="487" t="e">
        <f>+VLOOKUP($AJ379,Data_Validation!$A:$D,3,0)</f>
        <v>#N/A</v>
      </c>
      <c r="AQ379" s="487" t="e">
        <f>+VLOOKUP($AJ379,Data_Validation!$A:$D,4,0)</f>
        <v>#N/A</v>
      </c>
      <c r="AR379" s="487" t="s">
        <v>299</v>
      </c>
      <c r="AS379" s="487" t="e">
        <f>+VLOOKUP($AJ379,Data_Validation!$A:$E,5,0)</f>
        <v>#N/A</v>
      </c>
      <c r="AT379" s="904">
        <f t="shared" si="22"/>
        <v>0</v>
      </c>
      <c r="AU379" s="488">
        <f t="shared" si="22"/>
        <v>0</v>
      </c>
      <c r="AV379" s="899">
        <f>IFERROR(INDEX(V379:AG379,1,MATCH(Parametres!$B$3,V$1:AG$1,0)-1)*IF(OR(C379="L",C379="S",C379="I"),-1,1),"")</f>
        <v>0</v>
      </c>
      <c r="AW379" s="899">
        <f t="shared" si="23"/>
        <v>0</v>
      </c>
      <c r="AX379" s="899">
        <f>INDEX(V379:AG379,1,MATCH(Parametres!$B$3,V$1:AG$1,0))*IF(OR(C379="L",C379="S",C379="I"),-1,1)</f>
        <v>0</v>
      </c>
      <c r="AY379" s="487" t="s">
        <v>337</v>
      </c>
      <c r="AZ379" s="487" t="e">
        <f>+VLOOKUP($AJ379,Data_Validation!$A:$E,5,0)</f>
        <v>#N/A</v>
      </c>
    </row>
    <row r="380" spans="36:52" ht="15.75" customHeight="1">
      <c r="AJ380" s="899">
        <f t="shared" si="20"/>
        <v>0</v>
      </c>
      <c r="AK380" s="899">
        <f t="shared" si="20"/>
        <v>0</v>
      </c>
      <c r="AL380" s="905">
        <f>IFERROR(INDEX(G380:R380,1,MATCH(Parametres!$B$3,G$1:R$1,0)-1)*IF(OR(F380="L",F380="S",F380="I"),-1,1),"")</f>
        <v>0</v>
      </c>
      <c r="AM380" s="905">
        <f t="shared" si="21"/>
        <v>0</v>
      </c>
      <c r="AN380" s="905">
        <f>INDEX(G380:R380,1,MATCH(Parametres!$B$3,G$1:R$1,0))*IF(OR(F380="L",F380="S",F380="I"),-1,1)</f>
        <v>0</v>
      </c>
      <c r="AO380" s="487" t="e">
        <f>+VLOOKUP($AJ380,Data_Validation!$A:$D,1,0)</f>
        <v>#N/A</v>
      </c>
      <c r="AP380" s="487" t="e">
        <f>+VLOOKUP($AJ380,Data_Validation!$A:$D,3,0)</f>
        <v>#N/A</v>
      </c>
      <c r="AQ380" s="487" t="e">
        <f>+VLOOKUP($AJ380,Data_Validation!$A:$D,4,0)</f>
        <v>#N/A</v>
      </c>
      <c r="AR380" s="487" t="s">
        <v>299</v>
      </c>
      <c r="AS380" s="487" t="e">
        <f>+VLOOKUP($AJ380,Data_Validation!$A:$E,5,0)</f>
        <v>#N/A</v>
      </c>
      <c r="AT380" s="904">
        <f t="shared" si="22"/>
        <v>0</v>
      </c>
      <c r="AU380" s="488">
        <f t="shared" si="22"/>
        <v>0</v>
      </c>
      <c r="AV380" s="899">
        <f>IFERROR(INDEX(V380:AG380,1,MATCH(Parametres!$B$3,V$1:AG$1,0)-1)*IF(OR(C380="L",C380="S",C380="I"),-1,1),"")</f>
        <v>0</v>
      </c>
      <c r="AW380" s="899">
        <f t="shared" si="23"/>
        <v>0</v>
      </c>
      <c r="AX380" s="899">
        <f>INDEX(V380:AG380,1,MATCH(Parametres!$B$3,V$1:AG$1,0))*IF(OR(C380="L",C380="S",C380="I"),-1,1)</f>
        <v>0</v>
      </c>
      <c r="AY380" s="487" t="s">
        <v>337</v>
      </c>
      <c r="AZ380" s="487" t="e">
        <f>+VLOOKUP($AJ380,Data_Validation!$A:$E,5,0)</f>
        <v>#N/A</v>
      </c>
    </row>
    <row r="381" spans="36:52" ht="15.75" customHeight="1">
      <c r="AJ381" s="899">
        <f t="shared" si="20"/>
        <v>0</v>
      </c>
      <c r="AK381" s="899">
        <f t="shared" si="20"/>
        <v>0</v>
      </c>
      <c r="AL381" s="905">
        <f>IFERROR(INDEX(G381:R381,1,MATCH(Parametres!$B$3,G$1:R$1,0)-1)*IF(OR(F381="L",F381="S",F381="I"),-1,1),"")</f>
        <v>0</v>
      </c>
      <c r="AM381" s="905">
        <f t="shared" si="21"/>
        <v>0</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f t="shared" si="22"/>
        <v>0</v>
      </c>
      <c r="AU381" s="488">
        <f t="shared" si="22"/>
        <v>0</v>
      </c>
      <c r="AV381" s="899">
        <f>IFERROR(INDEX(V381:AG381,1,MATCH(Parametres!$B$3,V$1:AG$1,0)-1)*IF(OR(C381="L",C381="S",C381="I"),-1,1),"")</f>
        <v>0</v>
      </c>
      <c r="AW381" s="899">
        <f t="shared" si="23"/>
        <v>0</v>
      </c>
      <c r="AX381" s="899">
        <f>INDEX(V381:AG381,1,MATCH(Parametres!$B$3,V$1:AG$1,0))*IF(OR(C381="L",C381="S",C381="I"),-1,1)</f>
        <v>0</v>
      </c>
      <c r="AY381" s="487" t="s">
        <v>337</v>
      </c>
      <c r="AZ381" s="487" t="e">
        <f>+VLOOKUP($AJ381,Data_Validation!$A:$E,5,0)</f>
        <v>#N/A</v>
      </c>
    </row>
    <row r="382" spans="36:52" ht="15.75" customHeight="1">
      <c r="AJ382" s="899">
        <f t="shared" si="20"/>
        <v>0</v>
      </c>
      <c r="AK382" s="899">
        <f t="shared" si="20"/>
        <v>0</v>
      </c>
      <c r="AL382" s="905">
        <f>IFERROR(INDEX(G382:R382,1,MATCH(Parametres!$B$3,G$1:R$1,0)-1)*IF(OR(F382="L",F382="S",F382="I"),-1,1),"")</f>
        <v>0</v>
      </c>
      <c r="AM382" s="905">
        <f t="shared" si="21"/>
        <v>0</v>
      </c>
      <c r="AN382" s="905">
        <f>INDEX(G382:R382,1,MATCH(Parametres!$B$3,G$1:R$1,0))*IF(OR(F382="L",F382="S",F382="I"),-1,1)</f>
        <v>0</v>
      </c>
      <c r="AO382" s="487" t="e">
        <f>+VLOOKUP($AJ382,Data_Validation!$A:$D,1,0)</f>
        <v>#N/A</v>
      </c>
      <c r="AP382" s="487" t="e">
        <f>+VLOOKUP($AJ382,Data_Validation!$A:$D,3,0)</f>
        <v>#N/A</v>
      </c>
      <c r="AQ382" s="487" t="e">
        <f>+VLOOKUP($AJ382,Data_Validation!$A:$D,4,0)</f>
        <v>#N/A</v>
      </c>
      <c r="AR382" s="487" t="s">
        <v>299</v>
      </c>
      <c r="AS382" s="487" t="e">
        <f>+VLOOKUP($AJ382,Data_Validation!$A:$E,5,0)</f>
        <v>#N/A</v>
      </c>
      <c r="AT382" s="904">
        <f t="shared" si="22"/>
        <v>0</v>
      </c>
      <c r="AU382" s="488">
        <f t="shared" si="22"/>
        <v>0</v>
      </c>
      <c r="AV382" s="899">
        <f>IFERROR(INDEX(V382:AG382,1,MATCH(Parametres!$B$3,V$1:AG$1,0)-1)*IF(OR(C382="L",C382="S",C382="I"),-1,1),"")</f>
        <v>0</v>
      </c>
      <c r="AW382" s="899">
        <f t="shared" si="23"/>
        <v>0</v>
      </c>
      <c r="AX382" s="899">
        <f>INDEX(V382:AG382,1,MATCH(Parametres!$B$3,V$1:AG$1,0))*IF(OR(C382="L",C382="S",C382="I"),-1,1)</f>
        <v>0</v>
      </c>
      <c r="AY382" s="487" t="s">
        <v>337</v>
      </c>
      <c r="AZ382" s="487" t="e">
        <f>+VLOOKUP($AJ382,Data_Validation!$A:$E,5,0)</f>
        <v>#N/A</v>
      </c>
    </row>
    <row r="383" spans="36:52" ht="15.75" customHeight="1">
      <c r="AJ383" s="899">
        <f t="shared" si="20"/>
        <v>0</v>
      </c>
      <c r="AK383" s="899">
        <f t="shared" si="20"/>
        <v>0</v>
      </c>
      <c r="AL383" s="905">
        <f>IFERROR(INDEX(G383:R383,1,MATCH(Parametres!$B$3,G$1:R$1,0)-1)*IF(OR(F383="L",F383="S",F383="I"),-1,1),"")</f>
        <v>0</v>
      </c>
      <c r="AM383" s="905">
        <f t="shared" si="21"/>
        <v>0</v>
      </c>
      <c r="AN383" s="905">
        <f>INDEX(G383:R383,1,MATCH(Parametres!$B$3,G$1:R$1,0))*IF(OR(F383="L",F383="S",F383="I"),-1,1)</f>
        <v>0</v>
      </c>
      <c r="AO383" s="487" t="e">
        <f>+VLOOKUP($AJ383,Data_Validation!$A:$D,1,0)</f>
        <v>#N/A</v>
      </c>
      <c r="AP383" s="487" t="e">
        <f>+VLOOKUP($AJ383,Data_Validation!$A:$D,3,0)</f>
        <v>#N/A</v>
      </c>
      <c r="AQ383" s="487" t="e">
        <f>+VLOOKUP($AJ383,Data_Validation!$A:$D,4,0)</f>
        <v>#N/A</v>
      </c>
      <c r="AR383" s="487" t="s">
        <v>299</v>
      </c>
      <c r="AS383" s="487" t="e">
        <f>+VLOOKUP($AJ383,Data_Validation!$A:$E,5,0)</f>
        <v>#N/A</v>
      </c>
      <c r="AT383" s="904">
        <f t="shared" si="22"/>
        <v>0</v>
      </c>
      <c r="AU383" s="488">
        <f t="shared" si="22"/>
        <v>0</v>
      </c>
      <c r="AV383" s="899">
        <f>IFERROR(INDEX(V383:AG383,1,MATCH(Parametres!$B$3,V$1:AG$1,0)-1)*IF(OR(C383="L",C383="S",C383="I"),-1,1),"")</f>
        <v>0</v>
      </c>
      <c r="AW383" s="899">
        <f t="shared" si="23"/>
        <v>0</v>
      </c>
      <c r="AX383" s="899">
        <f>INDEX(V383:AG383,1,MATCH(Parametres!$B$3,V$1:AG$1,0))*IF(OR(C383="L",C383="S",C383="I"),-1,1)</f>
        <v>0</v>
      </c>
      <c r="AY383" s="487" t="s">
        <v>337</v>
      </c>
      <c r="AZ383" s="487" t="e">
        <f>+VLOOKUP($AJ383,Data_Validation!$A:$E,5,0)</f>
        <v>#N/A</v>
      </c>
    </row>
    <row r="384" spans="36:52" ht="15.75" customHeight="1">
      <c r="AJ384" s="899">
        <f t="shared" si="20"/>
        <v>0</v>
      </c>
      <c r="AK384" s="899">
        <f t="shared" si="20"/>
        <v>0</v>
      </c>
      <c r="AL384" s="905">
        <f>IFERROR(INDEX(G384:R384,1,MATCH(Parametres!$B$3,G$1:R$1,0)-1)*IF(OR(F384="L",F384="S",F384="I"),-1,1),"")</f>
        <v>0</v>
      </c>
      <c r="AM384" s="905">
        <f t="shared" si="21"/>
        <v>0</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f t="shared" si="22"/>
        <v>0</v>
      </c>
      <c r="AU384" s="488">
        <f t="shared" si="22"/>
        <v>0</v>
      </c>
      <c r="AV384" s="899">
        <f>IFERROR(INDEX(V384:AG384,1,MATCH(Parametres!$B$3,V$1:AG$1,0)-1)*IF(OR(C384="L",C384="S",C384="I"),-1,1),"")</f>
        <v>0</v>
      </c>
      <c r="AW384" s="899">
        <f t="shared" si="23"/>
        <v>0</v>
      </c>
      <c r="AX384" s="899">
        <f>INDEX(V384:AG384,1,MATCH(Parametres!$B$3,V$1:AG$1,0))*IF(OR(C384="L",C384="S",C384="I"),-1,1)</f>
        <v>0</v>
      </c>
      <c r="AY384" s="487" t="s">
        <v>337</v>
      </c>
      <c r="AZ384" s="487" t="e">
        <f>+VLOOKUP($AJ384,Data_Validation!$A:$E,5,0)</f>
        <v>#N/A</v>
      </c>
    </row>
    <row r="385" spans="36:52" ht="15.75" customHeight="1">
      <c r="AJ385" s="899">
        <f t="shared" si="20"/>
        <v>0</v>
      </c>
      <c r="AK385" s="899">
        <f t="shared" si="20"/>
        <v>0</v>
      </c>
      <c r="AL385" s="905">
        <f>IFERROR(INDEX(G385:R385,1,MATCH(Parametres!$B$3,G$1:R$1,0)-1)*IF(OR(F385="L",F385="S",F385="I"),-1,1),"")</f>
        <v>0</v>
      </c>
      <c r="AM385" s="905">
        <f t="shared" si="21"/>
        <v>0</v>
      </c>
      <c r="AN385" s="905">
        <f>INDEX(G385:R385,1,MATCH(Parametres!$B$3,G$1:R$1,0))*IF(OR(F385="L",F385="S",F385="I"),-1,1)</f>
        <v>0</v>
      </c>
      <c r="AO385" s="487" t="e">
        <f>+VLOOKUP($AJ385,Data_Validation!$A:$D,1,0)</f>
        <v>#N/A</v>
      </c>
      <c r="AP385" s="487" t="e">
        <f>+VLOOKUP($AJ385,Data_Validation!$A:$D,3,0)</f>
        <v>#N/A</v>
      </c>
      <c r="AQ385" s="487" t="e">
        <f>+VLOOKUP($AJ385,Data_Validation!$A:$D,4,0)</f>
        <v>#N/A</v>
      </c>
      <c r="AR385" s="487" t="s">
        <v>299</v>
      </c>
      <c r="AS385" s="487" t="e">
        <f>+VLOOKUP($AJ385,Data_Validation!$A:$E,5,0)</f>
        <v>#N/A</v>
      </c>
      <c r="AT385" s="904">
        <f t="shared" si="22"/>
        <v>0</v>
      </c>
      <c r="AU385" s="488">
        <f t="shared" si="22"/>
        <v>0</v>
      </c>
      <c r="AV385" s="899">
        <f>IFERROR(INDEX(V385:AG385,1,MATCH(Parametres!$B$3,V$1:AG$1,0)-1)*IF(OR(C385="L",C385="S",C385="I"),-1,1),"")</f>
        <v>0</v>
      </c>
      <c r="AW385" s="899">
        <f t="shared" si="23"/>
        <v>0</v>
      </c>
      <c r="AX385" s="899">
        <f>INDEX(V385:AG385,1,MATCH(Parametres!$B$3,V$1:AG$1,0))*IF(OR(C385="L",C385="S",C385="I"),-1,1)</f>
        <v>0</v>
      </c>
      <c r="AY385" s="487" t="s">
        <v>337</v>
      </c>
      <c r="AZ385" s="487" t="e">
        <f>+VLOOKUP($AJ385,Data_Validation!$A:$E,5,0)</f>
        <v>#N/A</v>
      </c>
    </row>
    <row r="386" spans="36:52" ht="15.75" customHeight="1">
      <c r="AJ386" s="899">
        <f t="shared" si="20"/>
        <v>0</v>
      </c>
      <c r="AK386" s="899">
        <f t="shared" si="20"/>
        <v>0</v>
      </c>
      <c r="AL386" s="905">
        <f>IFERROR(INDEX(G386:R386,1,MATCH(Parametres!$B$3,G$1:R$1,0)-1)*IF(OR(F386="L",F386="S",F386="I"),-1,1),"")</f>
        <v>0</v>
      </c>
      <c r="AM386" s="905">
        <f t="shared" si="21"/>
        <v>0</v>
      </c>
      <c r="AN386" s="905">
        <f>INDEX(G386:R386,1,MATCH(Parametres!$B$3,G$1:R$1,0))*IF(OR(F386="L",F386="S",F386="I"),-1,1)</f>
        <v>0</v>
      </c>
      <c r="AO386" s="487" t="e">
        <f>+VLOOKUP($AJ386,Data_Validation!$A:$D,1,0)</f>
        <v>#N/A</v>
      </c>
      <c r="AP386" s="487" t="e">
        <f>+VLOOKUP($AJ386,Data_Validation!$A:$D,3,0)</f>
        <v>#N/A</v>
      </c>
      <c r="AQ386" s="487" t="e">
        <f>+VLOOKUP($AJ386,Data_Validation!$A:$D,4,0)</f>
        <v>#N/A</v>
      </c>
      <c r="AR386" s="487" t="s">
        <v>299</v>
      </c>
      <c r="AS386" s="487" t="e">
        <f>+VLOOKUP($AJ386,Data_Validation!$A:$E,5,0)</f>
        <v>#N/A</v>
      </c>
      <c r="AT386" s="904">
        <f t="shared" si="22"/>
        <v>0</v>
      </c>
      <c r="AU386" s="488">
        <f t="shared" si="22"/>
        <v>0</v>
      </c>
      <c r="AV386" s="899">
        <f>IFERROR(INDEX(V386:AG386,1,MATCH(Parametres!$B$3,V$1:AG$1,0)-1)*IF(OR(C386="L",C386="S",C386="I"),-1,1),"")</f>
        <v>0</v>
      </c>
      <c r="AW386" s="899">
        <f t="shared" si="23"/>
        <v>0</v>
      </c>
      <c r="AX386" s="899">
        <f>INDEX(V386:AG386,1,MATCH(Parametres!$B$3,V$1:AG$1,0))*IF(OR(C386="L",C386="S",C386="I"),-1,1)</f>
        <v>0</v>
      </c>
      <c r="AY386" s="487" t="s">
        <v>337</v>
      </c>
      <c r="AZ386" s="487" t="e">
        <f>+VLOOKUP($AJ386,Data_Validation!$A:$E,5,0)</f>
        <v>#N/A</v>
      </c>
    </row>
    <row r="387" spans="36:52" ht="15.75" customHeight="1">
      <c r="AJ387" s="899">
        <f t="shared" si="20"/>
        <v>0</v>
      </c>
      <c r="AK387" s="899">
        <f t="shared" si="20"/>
        <v>0</v>
      </c>
      <c r="AL387" s="905">
        <f>IFERROR(INDEX(G387:R387,1,MATCH(Parametres!$B$3,G$1:R$1,0)-1)*IF(OR(F387="L",F387="S",F387="I"),-1,1),"")</f>
        <v>0</v>
      </c>
      <c r="AM387" s="905">
        <f t="shared" si="21"/>
        <v>0</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f t="shared" si="22"/>
        <v>0</v>
      </c>
      <c r="AU387" s="488">
        <f t="shared" si="22"/>
        <v>0</v>
      </c>
      <c r="AV387" s="899">
        <f>IFERROR(INDEX(V387:AG387,1,MATCH(Parametres!$B$3,V$1:AG$1,0)-1)*IF(OR(C387="L",C387="S",C387="I"),-1,1),"")</f>
        <v>0</v>
      </c>
      <c r="AW387" s="899">
        <f t="shared" si="23"/>
        <v>0</v>
      </c>
      <c r="AX387" s="899">
        <f>INDEX(V387:AG387,1,MATCH(Parametres!$B$3,V$1:AG$1,0))*IF(OR(C387="L",C387="S",C387="I"),-1,1)</f>
        <v>0</v>
      </c>
      <c r="AY387" s="487" t="s">
        <v>337</v>
      </c>
      <c r="AZ387" s="487" t="e">
        <f>+VLOOKUP($AJ387,Data_Validation!$A:$E,5,0)</f>
        <v>#N/A</v>
      </c>
    </row>
    <row r="388" spans="36:52" ht="15.75" customHeight="1">
      <c r="AJ388" s="899">
        <f t="shared" ref="AJ388:AK451" si="24">C388</f>
        <v>0</v>
      </c>
      <c r="AK388" s="899">
        <f t="shared" si="24"/>
        <v>0</v>
      </c>
      <c r="AL388" s="905">
        <f>IFERROR(INDEX(G388:R388,1,MATCH(Parametres!$B$3,G$1:R$1,0)-1)*IF(OR(F388="L",F388="S",F388="I"),-1,1),"")</f>
        <v>0</v>
      </c>
      <c r="AM388" s="905">
        <f t="shared" ref="AM388:AM451" si="25">AN388-AL388</f>
        <v>0</v>
      </c>
      <c r="AN388" s="905">
        <f>INDEX(G388:R388,1,MATCH(Parametres!$B$3,G$1:R$1,0))*IF(OR(F388="L",F388="S",F388="I"),-1,1)</f>
        <v>0</v>
      </c>
      <c r="AO388" s="487" t="e">
        <f>+VLOOKUP($AJ388,Data_Validation!$A:$D,1,0)</f>
        <v>#N/A</v>
      </c>
      <c r="AP388" s="487" t="e">
        <f>+VLOOKUP($AJ388,Data_Validation!$A:$D,3,0)</f>
        <v>#N/A</v>
      </c>
      <c r="AQ388" s="487" t="e">
        <f>+VLOOKUP($AJ388,Data_Validation!$A:$D,4,0)</f>
        <v>#N/A</v>
      </c>
      <c r="AR388" s="487" t="s">
        <v>299</v>
      </c>
      <c r="AS388" s="487" t="e">
        <f>+VLOOKUP($AJ388,Data_Validation!$A:$E,5,0)</f>
        <v>#N/A</v>
      </c>
      <c r="AT388" s="904">
        <f t="shared" ref="AT388:AU451" si="26">C388</f>
        <v>0</v>
      </c>
      <c r="AU388" s="488">
        <f t="shared" si="26"/>
        <v>0</v>
      </c>
      <c r="AV388" s="899">
        <f>IFERROR(INDEX(V388:AG388,1,MATCH(Parametres!$B$3,V$1:AG$1,0)-1)*IF(OR(C388="L",C388="S",C388="I"),-1,1),"")</f>
        <v>0</v>
      </c>
      <c r="AW388" s="899">
        <f t="shared" ref="AW388:AW451" si="27">AX388-AV388</f>
        <v>0</v>
      </c>
      <c r="AX388" s="899">
        <f>INDEX(V388:AG388,1,MATCH(Parametres!$B$3,V$1:AG$1,0))*IF(OR(C388="L",C388="S",C388="I"),-1,1)</f>
        <v>0</v>
      </c>
      <c r="AY388" s="487" t="s">
        <v>337</v>
      </c>
      <c r="AZ388" s="487" t="e">
        <f>+VLOOKUP($AJ388,Data_Validation!$A:$E,5,0)</f>
        <v>#N/A</v>
      </c>
    </row>
    <row r="389" spans="36:52" ht="15.75" customHeight="1">
      <c r="AJ389" s="899">
        <f t="shared" si="24"/>
        <v>0</v>
      </c>
      <c r="AK389" s="899">
        <f t="shared" si="24"/>
        <v>0</v>
      </c>
      <c r="AL389" s="905">
        <f>IFERROR(INDEX(G389:R389,1,MATCH(Parametres!$B$3,G$1:R$1,0)-1)*IF(OR(F389="L",F389="S",F389="I"),-1,1),"")</f>
        <v>0</v>
      </c>
      <c r="AM389" s="905">
        <f t="shared" si="25"/>
        <v>0</v>
      </c>
      <c r="AN389" s="905">
        <f>INDEX(G389:R389,1,MATCH(Parametres!$B$3,G$1:R$1,0))*IF(OR(F389="L",F389="S",F389="I"),-1,1)</f>
        <v>0</v>
      </c>
      <c r="AO389" s="487" t="e">
        <f>+VLOOKUP($AJ389,Data_Validation!$A:$D,1,0)</f>
        <v>#N/A</v>
      </c>
      <c r="AP389" s="487" t="e">
        <f>+VLOOKUP($AJ389,Data_Validation!$A:$D,3,0)</f>
        <v>#N/A</v>
      </c>
      <c r="AQ389" s="487" t="e">
        <f>+VLOOKUP($AJ389,Data_Validation!$A:$D,4,0)</f>
        <v>#N/A</v>
      </c>
      <c r="AR389" s="487" t="s">
        <v>299</v>
      </c>
      <c r="AS389" s="487" t="e">
        <f>+VLOOKUP($AJ389,Data_Validation!$A:$E,5,0)</f>
        <v>#N/A</v>
      </c>
      <c r="AT389" s="904">
        <f t="shared" si="26"/>
        <v>0</v>
      </c>
      <c r="AU389" s="488">
        <f t="shared" si="26"/>
        <v>0</v>
      </c>
      <c r="AV389" s="899">
        <f>IFERROR(INDEX(V389:AG389,1,MATCH(Parametres!$B$3,V$1:AG$1,0)-1)*IF(OR(C389="L",C389="S",C389="I"),-1,1),"")</f>
        <v>0</v>
      </c>
      <c r="AW389" s="899">
        <f t="shared" si="27"/>
        <v>0</v>
      </c>
      <c r="AX389" s="899">
        <f>INDEX(V389:AG389,1,MATCH(Parametres!$B$3,V$1:AG$1,0))*IF(OR(C389="L",C389="S",C389="I"),-1,1)</f>
        <v>0</v>
      </c>
      <c r="AY389" s="487" t="s">
        <v>337</v>
      </c>
      <c r="AZ389" s="487" t="e">
        <f>+VLOOKUP($AJ389,Data_Validation!$A:$E,5,0)</f>
        <v>#N/A</v>
      </c>
    </row>
    <row r="390" spans="36:52" ht="15.75" customHeight="1">
      <c r="AJ390" s="899">
        <f t="shared" si="24"/>
        <v>0</v>
      </c>
      <c r="AK390" s="899">
        <f t="shared" si="24"/>
        <v>0</v>
      </c>
      <c r="AL390" s="905">
        <f>IFERROR(INDEX(G390:R390,1,MATCH(Parametres!$B$3,G$1:R$1,0)-1)*IF(OR(F390="L",F390="S",F390="I"),-1,1),"")</f>
        <v>0</v>
      </c>
      <c r="AM390" s="905">
        <f t="shared" si="25"/>
        <v>0</v>
      </c>
      <c r="AN390" s="905">
        <f>INDEX(G390:R390,1,MATCH(Parametres!$B$3,G$1:R$1,0))*IF(OR(F390="L",F390="S",F390="I"),-1,1)</f>
        <v>0</v>
      </c>
      <c r="AO390" s="487" t="e">
        <f>+VLOOKUP($AJ390,Data_Validation!$A:$D,1,0)</f>
        <v>#N/A</v>
      </c>
      <c r="AP390" s="487" t="e">
        <f>+VLOOKUP($AJ390,Data_Validation!$A:$D,3,0)</f>
        <v>#N/A</v>
      </c>
      <c r="AQ390" s="487" t="e">
        <f>+VLOOKUP($AJ390,Data_Validation!$A:$D,4,0)</f>
        <v>#N/A</v>
      </c>
      <c r="AR390" s="487" t="s">
        <v>299</v>
      </c>
      <c r="AS390" s="487" t="e">
        <f>+VLOOKUP($AJ390,Data_Validation!$A:$E,5,0)</f>
        <v>#N/A</v>
      </c>
      <c r="AT390" s="904">
        <f t="shared" si="26"/>
        <v>0</v>
      </c>
      <c r="AU390" s="488">
        <f t="shared" si="26"/>
        <v>0</v>
      </c>
      <c r="AV390" s="899">
        <f>IFERROR(INDEX(V390:AG390,1,MATCH(Parametres!$B$3,V$1:AG$1,0)-1)*IF(OR(C390="L",C390="S",C390="I"),-1,1),"")</f>
        <v>0</v>
      </c>
      <c r="AW390" s="899">
        <f t="shared" si="27"/>
        <v>0</v>
      </c>
      <c r="AX390" s="899">
        <f>INDEX(V390:AG390,1,MATCH(Parametres!$B$3,V$1:AG$1,0))*IF(OR(C390="L",C390="S",C390="I"),-1,1)</f>
        <v>0</v>
      </c>
      <c r="AY390" s="487" t="s">
        <v>337</v>
      </c>
      <c r="AZ390" s="487" t="e">
        <f>+VLOOKUP($AJ390,Data_Validation!$A:$E,5,0)</f>
        <v>#N/A</v>
      </c>
    </row>
    <row r="391" spans="36:52" ht="15.75" customHeight="1">
      <c r="AJ391" s="899">
        <f t="shared" si="24"/>
        <v>0</v>
      </c>
      <c r="AK391" s="899">
        <f t="shared" si="24"/>
        <v>0</v>
      </c>
      <c r="AL391" s="905">
        <f>IFERROR(INDEX(G391:R391,1,MATCH(Parametres!$B$3,G$1:R$1,0)-1)*IF(OR(F391="L",F391="S",F391="I"),-1,1),"")</f>
        <v>0</v>
      </c>
      <c r="AM391" s="905">
        <f t="shared" si="25"/>
        <v>0</v>
      </c>
      <c r="AN391" s="905">
        <f>INDEX(G391:R391,1,MATCH(Parametres!$B$3,G$1:R$1,0))*IF(OR(F391="L",F391="S",F391="I"),-1,1)</f>
        <v>0</v>
      </c>
      <c r="AO391" s="487" t="e">
        <f>+VLOOKUP($AJ391,Data_Validation!$A:$D,1,0)</f>
        <v>#N/A</v>
      </c>
      <c r="AP391" s="487" t="e">
        <f>+VLOOKUP($AJ391,Data_Validation!$A:$D,3,0)</f>
        <v>#N/A</v>
      </c>
      <c r="AQ391" s="487" t="e">
        <f>+VLOOKUP($AJ391,Data_Validation!$A:$D,4,0)</f>
        <v>#N/A</v>
      </c>
      <c r="AR391" s="487" t="s">
        <v>299</v>
      </c>
      <c r="AS391" s="487" t="e">
        <f>+VLOOKUP($AJ391,Data_Validation!$A:$E,5,0)</f>
        <v>#N/A</v>
      </c>
      <c r="AT391" s="904">
        <f t="shared" si="26"/>
        <v>0</v>
      </c>
      <c r="AU391" s="488">
        <f t="shared" si="26"/>
        <v>0</v>
      </c>
      <c r="AV391" s="899">
        <f>IFERROR(INDEX(V391:AG391,1,MATCH(Parametres!$B$3,V$1:AG$1,0)-1)*IF(OR(C391="L",C391="S",C391="I"),-1,1),"")</f>
        <v>0</v>
      </c>
      <c r="AW391" s="899">
        <f t="shared" si="27"/>
        <v>0</v>
      </c>
      <c r="AX391" s="899">
        <f>INDEX(V391:AG391,1,MATCH(Parametres!$B$3,V$1:AG$1,0))*IF(OR(C391="L",C391="S",C391="I"),-1,1)</f>
        <v>0</v>
      </c>
      <c r="AY391" s="487" t="s">
        <v>337</v>
      </c>
      <c r="AZ391" s="487" t="e">
        <f>+VLOOKUP($AJ391,Data_Validation!$A:$E,5,0)</f>
        <v>#N/A</v>
      </c>
    </row>
    <row r="392" spans="36:52" ht="15.75" customHeight="1">
      <c r="AJ392" s="899">
        <f t="shared" si="24"/>
        <v>0</v>
      </c>
      <c r="AK392" s="899">
        <f t="shared" si="24"/>
        <v>0</v>
      </c>
      <c r="AL392" s="905">
        <f>IFERROR(INDEX(G392:R392,1,MATCH(Parametres!$B$3,G$1:R$1,0)-1)*IF(OR(F392="L",F392="S",F392="I"),-1,1),"")</f>
        <v>0</v>
      </c>
      <c r="AM392" s="905">
        <f t="shared" si="25"/>
        <v>0</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f t="shared" si="26"/>
        <v>0</v>
      </c>
      <c r="AU392" s="488">
        <f t="shared" si="26"/>
        <v>0</v>
      </c>
      <c r="AV392" s="899">
        <f>IFERROR(INDEX(V392:AG392,1,MATCH(Parametres!$B$3,V$1:AG$1,0)-1)*IF(OR(C392="L",C392="S",C392="I"),-1,1),"")</f>
        <v>0</v>
      </c>
      <c r="AW392" s="899">
        <f t="shared" si="27"/>
        <v>0</v>
      </c>
      <c r="AX392" s="899">
        <f>INDEX(V392:AG392,1,MATCH(Parametres!$B$3,V$1:AG$1,0))*IF(OR(C392="L",C392="S",C392="I"),-1,1)</f>
        <v>0</v>
      </c>
      <c r="AY392" s="487" t="s">
        <v>337</v>
      </c>
      <c r="AZ392" s="487" t="e">
        <f>+VLOOKUP($AJ392,Data_Validation!$A:$E,5,0)</f>
        <v>#N/A</v>
      </c>
    </row>
    <row r="393" spans="36:52" ht="15.75" customHeight="1">
      <c r="AJ393" s="899">
        <f t="shared" si="24"/>
        <v>0</v>
      </c>
      <c r="AK393" s="899">
        <f t="shared" si="24"/>
        <v>0</v>
      </c>
      <c r="AL393" s="905">
        <f>IFERROR(INDEX(G393:R393,1,MATCH(Parametres!$B$3,G$1:R$1,0)-1)*IF(OR(F393="L",F393="S",F393="I"),-1,1),"")</f>
        <v>0</v>
      </c>
      <c r="AM393" s="905">
        <f t="shared" si="25"/>
        <v>0</v>
      </c>
      <c r="AN393" s="905">
        <f>INDEX(G393:R393,1,MATCH(Parametres!$B$3,G$1:R$1,0))*IF(OR(F393="L",F393="S",F393="I"),-1,1)</f>
        <v>0</v>
      </c>
      <c r="AO393" s="487" t="e">
        <f>+VLOOKUP($AJ393,Data_Validation!$A:$D,1,0)</f>
        <v>#N/A</v>
      </c>
      <c r="AP393" s="487" t="e">
        <f>+VLOOKUP($AJ393,Data_Validation!$A:$D,3,0)</f>
        <v>#N/A</v>
      </c>
      <c r="AQ393" s="487" t="e">
        <f>+VLOOKUP($AJ393,Data_Validation!$A:$D,4,0)</f>
        <v>#N/A</v>
      </c>
      <c r="AR393" s="487" t="s">
        <v>299</v>
      </c>
      <c r="AS393" s="487" t="e">
        <f>+VLOOKUP($AJ393,Data_Validation!$A:$E,5,0)</f>
        <v>#N/A</v>
      </c>
      <c r="AT393" s="904">
        <f t="shared" si="26"/>
        <v>0</v>
      </c>
      <c r="AU393" s="488">
        <f t="shared" si="26"/>
        <v>0</v>
      </c>
      <c r="AV393" s="899">
        <f>IFERROR(INDEX(V393:AG393,1,MATCH(Parametres!$B$3,V$1:AG$1,0)-1)*IF(OR(C393="L",C393="S",C393="I"),-1,1),"")</f>
        <v>0</v>
      </c>
      <c r="AW393" s="899">
        <f t="shared" si="27"/>
        <v>0</v>
      </c>
      <c r="AX393" s="899">
        <f>INDEX(V393:AG393,1,MATCH(Parametres!$B$3,V$1:AG$1,0))*IF(OR(C393="L",C393="S",C393="I"),-1,1)</f>
        <v>0</v>
      </c>
      <c r="AY393" s="487" t="s">
        <v>337</v>
      </c>
      <c r="AZ393" s="487" t="e">
        <f>+VLOOKUP($AJ393,Data_Validation!$A:$E,5,0)</f>
        <v>#N/A</v>
      </c>
    </row>
    <row r="394" spans="36:52" ht="15.75" customHeight="1">
      <c r="AJ394" s="899">
        <f t="shared" si="24"/>
        <v>0</v>
      </c>
      <c r="AK394" s="899">
        <f t="shared" si="24"/>
        <v>0</v>
      </c>
      <c r="AL394" s="905">
        <f>IFERROR(INDEX(G394:R394,1,MATCH(Parametres!$B$3,G$1:R$1,0)-1)*IF(OR(F394="L",F394="S",F394="I"),-1,1),"")</f>
        <v>0</v>
      </c>
      <c r="AM394" s="905">
        <f t="shared" si="25"/>
        <v>0</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f t="shared" si="26"/>
        <v>0</v>
      </c>
      <c r="AU394" s="488">
        <f t="shared" si="26"/>
        <v>0</v>
      </c>
      <c r="AV394" s="899">
        <f>IFERROR(INDEX(V394:AG394,1,MATCH(Parametres!$B$3,V$1:AG$1,0)-1)*IF(OR(C394="L",C394="S",C394="I"),-1,1),"")</f>
        <v>0</v>
      </c>
      <c r="AW394" s="899">
        <f t="shared" si="27"/>
        <v>0</v>
      </c>
      <c r="AX394" s="899">
        <f>INDEX(V394:AG394,1,MATCH(Parametres!$B$3,V$1:AG$1,0))*IF(OR(C394="L",C394="S",C394="I"),-1,1)</f>
        <v>0</v>
      </c>
      <c r="AY394" s="487" t="s">
        <v>337</v>
      </c>
      <c r="AZ394" s="487" t="e">
        <f>+VLOOKUP($AJ394,Data_Validation!$A:$E,5,0)</f>
        <v>#N/A</v>
      </c>
    </row>
    <row r="395" spans="36:52" ht="15.75" customHeight="1">
      <c r="AJ395" s="899">
        <f t="shared" si="24"/>
        <v>0</v>
      </c>
      <c r="AK395" s="899">
        <f t="shared" si="24"/>
        <v>0</v>
      </c>
      <c r="AL395" s="905">
        <f>IFERROR(INDEX(G395:R395,1,MATCH(Parametres!$B$3,G$1:R$1,0)-1)*IF(OR(F395="L",F395="S",F395="I"),-1,1),"")</f>
        <v>0</v>
      </c>
      <c r="AM395" s="905">
        <f t="shared" si="25"/>
        <v>0</v>
      </c>
      <c r="AN395" s="905">
        <f>INDEX(G395:R395,1,MATCH(Parametres!$B$3,G$1:R$1,0))*IF(OR(F395="L",F395="S",F395="I"),-1,1)</f>
        <v>0</v>
      </c>
      <c r="AO395" s="487" t="e">
        <f>+VLOOKUP($AJ395,Data_Validation!$A:$D,1,0)</f>
        <v>#N/A</v>
      </c>
      <c r="AP395" s="487" t="e">
        <f>+VLOOKUP($AJ395,Data_Validation!$A:$D,3,0)</f>
        <v>#N/A</v>
      </c>
      <c r="AQ395" s="487" t="e">
        <f>+VLOOKUP($AJ395,Data_Validation!$A:$D,4,0)</f>
        <v>#N/A</v>
      </c>
      <c r="AR395" s="487" t="s">
        <v>299</v>
      </c>
      <c r="AS395" s="487" t="e">
        <f>+VLOOKUP($AJ395,Data_Validation!$A:$E,5,0)</f>
        <v>#N/A</v>
      </c>
      <c r="AT395" s="904">
        <f t="shared" si="26"/>
        <v>0</v>
      </c>
      <c r="AU395" s="488">
        <f t="shared" si="26"/>
        <v>0</v>
      </c>
      <c r="AV395" s="899">
        <f>IFERROR(INDEX(V395:AG395,1,MATCH(Parametres!$B$3,V$1:AG$1,0)-1)*IF(OR(C395="L",C395="S",C395="I"),-1,1),"")</f>
        <v>0</v>
      </c>
      <c r="AW395" s="899">
        <f t="shared" si="27"/>
        <v>0</v>
      </c>
      <c r="AX395" s="899">
        <f>INDEX(V395:AG395,1,MATCH(Parametres!$B$3,V$1:AG$1,0))*IF(OR(C395="L",C395="S",C395="I"),-1,1)</f>
        <v>0</v>
      </c>
      <c r="AY395" s="487" t="s">
        <v>337</v>
      </c>
      <c r="AZ395" s="487" t="e">
        <f>+VLOOKUP($AJ395,Data_Validation!$A:$E,5,0)</f>
        <v>#N/A</v>
      </c>
    </row>
    <row r="396" spans="36:52" ht="15.75" customHeight="1">
      <c r="AJ396" s="899">
        <f t="shared" si="24"/>
        <v>0</v>
      </c>
      <c r="AK396" s="899">
        <f t="shared" si="24"/>
        <v>0</v>
      </c>
      <c r="AL396" s="905">
        <f>IFERROR(INDEX(G396:R396,1,MATCH(Parametres!$B$3,G$1:R$1,0)-1)*IF(OR(F396="L",F396="S",F396="I"),-1,1),"")</f>
        <v>0</v>
      </c>
      <c r="AM396" s="905">
        <f t="shared" si="25"/>
        <v>0</v>
      </c>
      <c r="AN396" s="905">
        <f>INDEX(G396:R396,1,MATCH(Parametres!$B$3,G$1:R$1,0))*IF(OR(F396="L",F396="S",F396="I"),-1,1)</f>
        <v>0</v>
      </c>
      <c r="AO396" s="487" t="e">
        <f>+VLOOKUP($AJ396,Data_Validation!$A:$D,1,0)</f>
        <v>#N/A</v>
      </c>
      <c r="AP396" s="487" t="e">
        <f>+VLOOKUP($AJ396,Data_Validation!$A:$D,3,0)</f>
        <v>#N/A</v>
      </c>
      <c r="AQ396" s="487" t="e">
        <f>+VLOOKUP($AJ396,Data_Validation!$A:$D,4,0)</f>
        <v>#N/A</v>
      </c>
      <c r="AR396" s="487" t="s">
        <v>299</v>
      </c>
      <c r="AS396" s="487" t="e">
        <f>+VLOOKUP($AJ396,Data_Validation!$A:$E,5,0)</f>
        <v>#N/A</v>
      </c>
      <c r="AT396" s="904">
        <f t="shared" si="26"/>
        <v>0</v>
      </c>
      <c r="AU396" s="488">
        <f t="shared" si="26"/>
        <v>0</v>
      </c>
      <c r="AV396" s="899">
        <f>IFERROR(INDEX(V396:AG396,1,MATCH(Parametres!$B$3,V$1:AG$1,0)-1)*IF(OR(C396="L",C396="S",C396="I"),-1,1),"")</f>
        <v>0</v>
      </c>
      <c r="AW396" s="899">
        <f t="shared" si="27"/>
        <v>0</v>
      </c>
      <c r="AX396" s="899">
        <f>INDEX(V396:AG396,1,MATCH(Parametres!$B$3,V$1:AG$1,0))*IF(OR(C396="L",C396="S",C396="I"),-1,1)</f>
        <v>0</v>
      </c>
      <c r="AY396" s="487" t="s">
        <v>337</v>
      </c>
      <c r="AZ396" s="487" t="e">
        <f>+VLOOKUP($AJ396,Data_Validation!$A:$E,5,0)</f>
        <v>#N/A</v>
      </c>
    </row>
    <row r="397" spans="36:52" ht="15.75" customHeight="1">
      <c r="AJ397" s="899">
        <f t="shared" si="24"/>
        <v>0</v>
      </c>
      <c r="AK397" s="899">
        <f t="shared" si="24"/>
        <v>0</v>
      </c>
      <c r="AL397" s="905">
        <f>IFERROR(INDEX(G397:R397,1,MATCH(Parametres!$B$3,G$1:R$1,0)-1)*IF(OR(F397="L",F397="S",F397="I"),-1,1),"")</f>
        <v>0</v>
      </c>
      <c r="AM397" s="905">
        <f t="shared" si="25"/>
        <v>0</v>
      </c>
      <c r="AN397" s="905">
        <f>INDEX(G397:R397,1,MATCH(Parametres!$B$3,G$1:R$1,0))*IF(OR(F397="L",F397="S",F397="I"),-1,1)</f>
        <v>0</v>
      </c>
      <c r="AO397" s="487" t="e">
        <f>+VLOOKUP($AJ397,Data_Validation!$A:$D,1,0)</f>
        <v>#N/A</v>
      </c>
      <c r="AP397" s="487" t="e">
        <f>+VLOOKUP($AJ397,Data_Validation!$A:$D,3,0)</f>
        <v>#N/A</v>
      </c>
      <c r="AQ397" s="487" t="e">
        <f>+VLOOKUP($AJ397,Data_Validation!$A:$D,4,0)</f>
        <v>#N/A</v>
      </c>
      <c r="AR397" s="487" t="s">
        <v>299</v>
      </c>
      <c r="AS397" s="487" t="e">
        <f>+VLOOKUP($AJ397,Data_Validation!$A:$E,5,0)</f>
        <v>#N/A</v>
      </c>
      <c r="AT397" s="904">
        <f t="shared" si="26"/>
        <v>0</v>
      </c>
      <c r="AU397" s="488">
        <f t="shared" si="26"/>
        <v>0</v>
      </c>
      <c r="AV397" s="899">
        <f>IFERROR(INDEX(V397:AG397,1,MATCH(Parametres!$B$3,V$1:AG$1,0)-1)*IF(OR(C397="L",C397="S",C397="I"),-1,1),"")</f>
        <v>0</v>
      </c>
      <c r="AW397" s="899">
        <f t="shared" si="27"/>
        <v>0</v>
      </c>
      <c r="AX397" s="899">
        <f>INDEX(V397:AG397,1,MATCH(Parametres!$B$3,V$1:AG$1,0))*IF(OR(C397="L",C397="S",C397="I"),-1,1)</f>
        <v>0</v>
      </c>
      <c r="AY397" s="487" t="s">
        <v>337</v>
      </c>
      <c r="AZ397" s="487" t="e">
        <f>+VLOOKUP($AJ397,Data_Validation!$A:$E,5,0)</f>
        <v>#N/A</v>
      </c>
    </row>
    <row r="398" spans="36:52" ht="15.75" customHeight="1">
      <c r="AJ398" s="899">
        <f t="shared" si="24"/>
        <v>0</v>
      </c>
      <c r="AK398" s="899">
        <f t="shared" si="24"/>
        <v>0</v>
      </c>
      <c r="AL398" s="905">
        <f>IFERROR(INDEX(G398:R398,1,MATCH(Parametres!$B$3,G$1:R$1,0)-1)*IF(OR(F398="L",F398="S",F398="I"),-1,1),"")</f>
        <v>0</v>
      </c>
      <c r="AM398" s="905">
        <f t="shared" si="25"/>
        <v>0</v>
      </c>
      <c r="AN398" s="905">
        <f>INDEX(G398:R398,1,MATCH(Parametres!$B$3,G$1:R$1,0))*IF(OR(F398="L",F398="S",F398="I"),-1,1)</f>
        <v>0</v>
      </c>
      <c r="AO398" s="487" t="e">
        <f>+VLOOKUP($AJ398,Data_Validation!$A:$D,1,0)</f>
        <v>#N/A</v>
      </c>
      <c r="AP398" s="487" t="e">
        <f>+VLOOKUP($AJ398,Data_Validation!$A:$D,3,0)</f>
        <v>#N/A</v>
      </c>
      <c r="AQ398" s="487" t="e">
        <f>+VLOOKUP($AJ398,Data_Validation!$A:$D,4,0)</f>
        <v>#N/A</v>
      </c>
      <c r="AR398" s="487" t="s">
        <v>299</v>
      </c>
      <c r="AS398" s="487" t="e">
        <f>+VLOOKUP($AJ398,Data_Validation!$A:$E,5,0)</f>
        <v>#N/A</v>
      </c>
      <c r="AT398" s="904">
        <f t="shared" si="26"/>
        <v>0</v>
      </c>
      <c r="AU398" s="488">
        <f t="shared" si="26"/>
        <v>0</v>
      </c>
      <c r="AV398" s="899">
        <f>IFERROR(INDEX(V398:AG398,1,MATCH(Parametres!$B$3,V$1:AG$1,0)-1)*IF(OR(C398="L",C398="S",C398="I"),-1,1),"")</f>
        <v>0</v>
      </c>
      <c r="AW398" s="899">
        <f t="shared" si="27"/>
        <v>0</v>
      </c>
      <c r="AX398" s="899">
        <f>INDEX(V398:AG398,1,MATCH(Parametres!$B$3,V$1:AG$1,0))*IF(OR(C398="L",C398="S",C398="I"),-1,1)</f>
        <v>0</v>
      </c>
      <c r="AY398" s="487" t="s">
        <v>337</v>
      </c>
      <c r="AZ398" s="487" t="e">
        <f>+VLOOKUP($AJ398,Data_Validation!$A:$E,5,0)</f>
        <v>#N/A</v>
      </c>
    </row>
    <row r="399" spans="36:52" ht="15.75" customHeight="1">
      <c r="AJ399" s="899">
        <f t="shared" si="24"/>
        <v>0</v>
      </c>
      <c r="AK399" s="899">
        <f t="shared" si="24"/>
        <v>0</v>
      </c>
      <c r="AL399" s="905">
        <f>IFERROR(INDEX(G399:R399,1,MATCH(Parametres!$B$3,G$1:R$1,0)-1)*IF(OR(F399="L",F399="S",F399="I"),-1,1),"")</f>
        <v>0</v>
      </c>
      <c r="AM399" s="905">
        <f t="shared" si="25"/>
        <v>0</v>
      </c>
      <c r="AN399" s="905">
        <f>INDEX(G399:R399,1,MATCH(Parametres!$B$3,G$1:R$1,0))*IF(OR(F399="L",F399="S",F399="I"),-1,1)</f>
        <v>0</v>
      </c>
      <c r="AO399" s="487" t="e">
        <f>+VLOOKUP($AJ399,Data_Validation!$A:$D,1,0)</f>
        <v>#N/A</v>
      </c>
      <c r="AP399" s="487" t="e">
        <f>+VLOOKUP($AJ399,Data_Validation!$A:$D,3,0)</f>
        <v>#N/A</v>
      </c>
      <c r="AQ399" s="487" t="e">
        <f>+VLOOKUP($AJ399,Data_Validation!$A:$D,4,0)</f>
        <v>#N/A</v>
      </c>
      <c r="AR399" s="487" t="s">
        <v>299</v>
      </c>
      <c r="AS399" s="487" t="e">
        <f>+VLOOKUP($AJ399,Data_Validation!$A:$E,5,0)</f>
        <v>#N/A</v>
      </c>
      <c r="AT399" s="904">
        <f t="shared" si="26"/>
        <v>0</v>
      </c>
      <c r="AU399" s="488">
        <f t="shared" si="26"/>
        <v>0</v>
      </c>
      <c r="AV399" s="899">
        <f>IFERROR(INDEX(V399:AG399,1,MATCH(Parametres!$B$3,V$1:AG$1,0)-1)*IF(OR(C399="L",C399="S",C399="I"),-1,1),"")</f>
        <v>0</v>
      </c>
      <c r="AW399" s="899">
        <f t="shared" si="27"/>
        <v>0</v>
      </c>
      <c r="AX399" s="899">
        <f>INDEX(V399:AG399,1,MATCH(Parametres!$B$3,V$1:AG$1,0))*IF(OR(C399="L",C399="S",C399="I"),-1,1)</f>
        <v>0</v>
      </c>
      <c r="AY399" s="487" t="s">
        <v>337</v>
      </c>
      <c r="AZ399" s="487" t="e">
        <f>+VLOOKUP($AJ399,Data_Validation!$A:$E,5,0)</f>
        <v>#N/A</v>
      </c>
    </row>
    <row r="400" spans="36:52" ht="15.75" customHeight="1">
      <c r="AJ400" s="899">
        <f t="shared" si="24"/>
        <v>0</v>
      </c>
      <c r="AK400" s="899">
        <f t="shared" si="24"/>
        <v>0</v>
      </c>
      <c r="AL400" s="905">
        <f>IFERROR(INDEX(G400:R400,1,MATCH(Parametres!$B$3,G$1:R$1,0)-1)*IF(OR(F400="L",F400="S",F400="I"),-1,1),"")</f>
        <v>0</v>
      </c>
      <c r="AM400" s="905">
        <f t="shared" si="25"/>
        <v>0</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f t="shared" si="26"/>
        <v>0</v>
      </c>
      <c r="AU400" s="488">
        <f t="shared" si="26"/>
        <v>0</v>
      </c>
      <c r="AV400" s="899">
        <f>IFERROR(INDEX(V400:AG400,1,MATCH(Parametres!$B$3,V$1:AG$1,0)-1)*IF(OR(C400="L",C400="S",C400="I"),-1,1),"")</f>
        <v>0</v>
      </c>
      <c r="AW400" s="899">
        <f t="shared" si="27"/>
        <v>0</v>
      </c>
      <c r="AX400" s="899">
        <f>INDEX(V400:AG400,1,MATCH(Parametres!$B$3,V$1:AG$1,0))*IF(OR(C400="L",C400="S",C400="I"),-1,1)</f>
        <v>0</v>
      </c>
      <c r="AY400" s="487" t="s">
        <v>337</v>
      </c>
      <c r="AZ400" s="487" t="e">
        <f>+VLOOKUP($AJ400,Data_Validation!$A:$E,5,0)</f>
        <v>#N/A</v>
      </c>
    </row>
    <row r="401" spans="36:52" ht="15.75" customHeight="1">
      <c r="AJ401" s="899">
        <f t="shared" si="24"/>
        <v>0</v>
      </c>
      <c r="AK401" s="899">
        <f t="shared" si="24"/>
        <v>0</v>
      </c>
      <c r="AL401" s="905">
        <f>IFERROR(INDEX(G401:R401,1,MATCH(Parametres!$B$3,G$1:R$1,0)-1)*IF(OR(F401="L",F401="S",F401="I"),-1,1),"")</f>
        <v>0</v>
      </c>
      <c r="AM401" s="905">
        <f t="shared" si="25"/>
        <v>0</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f t="shared" si="26"/>
        <v>0</v>
      </c>
      <c r="AU401" s="488">
        <f t="shared" si="26"/>
        <v>0</v>
      </c>
      <c r="AV401" s="899">
        <f>IFERROR(INDEX(V401:AG401,1,MATCH(Parametres!$B$3,V$1:AG$1,0)-1)*IF(OR(C401="L",C401="S",C401="I"),-1,1),"")</f>
        <v>0</v>
      </c>
      <c r="AW401" s="899">
        <f t="shared" si="27"/>
        <v>0</v>
      </c>
      <c r="AX401" s="899">
        <f>INDEX(V401:AG401,1,MATCH(Parametres!$B$3,V$1:AG$1,0))*IF(OR(C401="L",C401="S",C401="I"),-1,1)</f>
        <v>0</v>
      </c>
      <c r="AY401" s="487" t="s">
        <v>337</v>
      </c>
      <c r="AZ401" s="487" t="e">
        <f>+VLOOKUP($AJ401,Data_Validation!$A:$E,5,0)</f>
        <v>#N/A</v>
      </c>
    </row>
    <row r="402" spans="36:52" ht="15.75" customHeight="1">
      <c r="AJ402" s="899">
        <f t="shared" si="24"/>
        <v>0</v>
      </c>
      <c r="AK402" s="899">
        <f t="shared" si="24"/>
        <v>0</v>
      </c>
      <c r="AL402" s="905">
        <f>IFERROR(INDEX(G402:R402,1,MATCH(Parametres!$B$3,G$1:R$1,0)-1)*IF(OR(F402="L",F402="S",F402="I"),-1,1),"")</f>
        <v>0</v>
      </c>
      <c r="AM402" s="905">
        <f t="shared" si="25"/>
        <v>0</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f t="shared" si="26"/>
        <v>0</v>
      </c>
      <c r="AU402" s="488">
        <f t="shared" si="26"/>
        <v>0</v>
      </c>
      <c r="AV402" s="899">
        <f>IFERROR(INDEX(V402:AG402,1,MATCH(Parametres!$B$3,V$1:AG$1,0)-1)*IF(OR(C402="L",C402="S",C402="I"),-1,1),"")</f>
        <v>0</v>
      </c>
      <c r="AW402" s="899">
        <f t="shared" si="27"/>
        <v>0</v>
      </c>
      <c r="AX402" s="899">
        <f>INDEX(V402:AG402,1,MATCH(Parametres!$B$3,V$1:AG$1,0))*IF(OR(C402="L",C402="S",C402="I"),-1,1)</f>
        <v>0</v>
      </c>
      <c r="AY402" s="487" t="s">
        <v>337</v>
      </c>
      <c r="AZ402" s="487" t="e">
        <f>+VLOOKUP($AJ402,Data_Validation!$A:$E,5,0)</f>
        <v>#N/A</v>
      </c>
    </row>
    <row r="403" spans="36:52" ht="15.75" customHeight="1">
      <c r="AJ403" s="899">
        <f t="shared" si="24"/>
        <v>0</v>
      </c>
      <c r="AK403" s="899">
        <f t="shared" si="24"/>
        <v>0</v>
      </c>
      <c r="AL403" s="905">
        <f>IFERROR(INDEX(G403:R403,1,MATCH(Parametres!$B$3,G$1:R$1,0)-1)*IF(OR(F403="L",F403="S",F403="I"),-1,1),"")</f>
        <v>0</v>
      </c>
      <c r="AM403" s="905">
        <f t="shared" si="25"/>
        <v>0</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f t="shared" si="26"/>
        <v>0</v>
      </c>
      <c r="AU403" s="488">
        <f t="shared" si="26"/>
        <v>0</v>
      </c>
      <c r="AV403" s="899">
        <f>IFERROR(INDEX(V403:AG403,1,MATCH(Parametres!$B$3,V$1:AG$1,0)-1)*IF(OR(C403="L",C403="S",C403="I"),-1,1),"")</f>
        <v>0</v>
      </c>
      <c r="AW403" s="899">
        <f t="shared" si="27"/>
        <v>0</v>
      </c>
      <c r="AX403" s="899">
        <f>INDEX(V403:AG403,1,MATCH(Parametres!$B$3,V$1:AG$1,0))*IF(OR(C403="L",C403="S",C403="I"),-1,1)</f>
        <v>0</v>
      </c>
      <c r="AY403" s="487" t="s">
        <v>337</v>
      </c>
      <c r="AZ403" s="487" t="e">
        <f>+VLOOKUP($AJ403,Data_Validation!$A:$E,5,0)</f>
        <v>#N/A</v>
      </c>
    </row>
    <row r="404" spans="36:52" ht="15.75" customHeight="1">
      <c r="AJ404" s="899">
        <f t="shared" si="24"/>
        <v>0</v>
      </c>
      <c r="AK404" s="899">
        <f t="shared" si="24"/>
        <v>0</v>
      </c>
      <c r="AL404" s="905">
        <f>IFERROR(INDEX(G404:R404,1,MATCH(Parametres!$B$3,G$1:R$1,0)-1)*IF(OR(F404="L",F404="S",F404="I"),-1,1),"")</f>
        <v>0</v>
      </c>
      <c r="AM404" s="905">
        <f t="shared" si="25"/>
        <v>0</v>
      </c>
      <c r="AN404" s="905">
        <f>INDEX(G404:R404,1,MATCH(Parametres!$B$3,G$1:R$1,0))*IF(OR(F404="L",F404="S",F404="I"),-1,1)</f>
        <v>0</v>
      </c>
      <c r="AO404" s="487" t="e">
        <f>+VLOOKUP($AJ404,Data_Validation!$A:$D,1,0)</f>
        <v>#N/A</v>
      </c>
      <c r="AP404" s="487" t="e">
        <f>+VLOOKUP($AJ404,Data_Validation!$A:$D,3,0)</f>
        <v>#N/A</v>
      </c>
      <c r="AQ404" s="487" t="e">
        <f>+VLOOKUP($AJ404,Data_Validation!$A:$D,4,0)</f>
        <v>#N/A</v>
      </c>
      <c r="AR404" s="487" t="s">
        <v>299</v>
      </c>
      <c r="AS404" s="487" t="e">
        <f>+VLOOKUP($AJ404,Data_Validation!$A:$E,5,0)</f>
        <v>#N/A</v>
      </c>
      <c r="AT404" s="904">
        <f t="shared" si="26"/>
        <v>0</v>
      </c>
      <c r="AU404" s="488">
        <f t="shared" si="26"/>
        <v>0</v>
      </c>
      <c r="AV404" s="899">
        <f>IFERROR(INDEX(V404:AG404,1,MATCH(Parametres!$B$3,V$1:AG$1,0)-1)*IF(OR(C404="L",C404="S",C404="I"),-1,1),"")</f>
        <v>0</v>
      </c>
      <c r="AW404" s="899">
        <f t="shared" si="27"/>
        <v>0</v>
      </c>
      <c r="AX404" s="899">
        <f>INDEX(V404:AG404,1,MATCH(Parametres!$B$3,V$1:AG$1,0))*IF(OR(C404="L",C404="S",C404="I"),-1,1)</f>
        <v>0</v>
      </c>
      <c r="AY404" s="487" t="s">
        <v>337</v>
      </c>
      <c r="AZ404" s="487" t="e">
        <f>+VLOOKUP($AJ404,Data_Validation!$A:$E,5,0)</f>
        <v>#N/A</v>
      </c>
    </row>
    <row r="405" spans="36:52" ht="15.75" customHeight="1">
      <c r="AJ405" s="899">
        <f t="shared" si="24"/>
        <v>0</v>
      </c>
      <c r="AK405" s="899">
        <f t="shared" si="24"/>
        <v>0</v>
      </c>
      <c r="AL405" s="905">
        <f>IFERROR(INDEX(G405:R405,1,MATCH(Parametres!$B$3,G$1:R$1,0)-1)*IF(OR(F405="L",F405="S",F405="I"),-1,1),"")</f>
        <v>0</v>
      </c>
      <c r="AM405" s="905">
        <f t="shared" si="25"/>
        <v>0</v>
      </c>
      <c r="AN405" s="905">
        <f>INDEX(G405:R405,1,MATCH(Parametres!$B$3,G$1:R$1,0))*IF(OR(F405="L",F405="S",F405="I"),-1,1)</f>
        <v>0</v>
      </c>
      <c r="AO405" s="487" t="e">
        <f>+VLOOKUP($AJ405,Data_Validation!$A:$D,1,0)</f>
        <v>#N/A</v>
      </c>
      <c r="AP405" s="487" t="e">
        <f>+VLOOKUP($AJ405,Data_Validation!$A:$D,3,0)</f>
        <v>#N/A</v>
      </c>
      <c r="AQ405" s="487" t="e">
        <f>+VLOOKUP($AJ405,Data_Validation!$A:$D,4,0)</f>
        <v>#N/A</v>
      </c>
      <c r="AR405" s="487" t="s">
        <v>299</v>
      </c>
      <c r="AS405" s="487" t="e">
        <f>+VLOOKUP($AJ405,Data_Validation!$A:$E,5,0)</f>
        <v>#N/A</v>
      </c>
      <c r="AT405" s="904">
        <f t="shared" si="26"/>
        <v>0</v>
      </c>
      <c r="AU405" s="488">
        <f t="shared" si="26"/>
        <v>0</v>
      </c>
      <c r="AV405" s="899">
        <f>IFERROR(INDEX(V405:AG405,1,MATCH(Parametres!$B$3,V$1:AG$1,0)-1)*IF(OR(C405="L",C405="S",C405="I"),-1,1),"")</f>
        <v>0</v>
      </c>
      <c r="AW405" s="899">
        <f t="shared" si="27"/>
        <v>0</v>
      </c>
      <c r="AX405" s="899">
        <f>INDEX(V405:AG405,1,MATCH(Parametres!$B$3,V$1:AG$1,0))*IF(OR(C405="L",C405="S",C405="I"),-1,1)</f>
        <v>0</v>
      </c>
      <c r="AY405" s="487" t="s">
        <v>337</v>
      </c>
      <c r="AZ405" s="487" t="e">
        <f>+VLOOKUP($AJ405,Data_Validation!$A:$E,5,0)</f>
        <v>#N/A</v>
      </c>
    </row>
    <row r="406" spans="36:52" ht="15.75" customHeight="1">
      <c r="AJ406" s="899">
        <f t="shared" si="24"/>
        <v>0</v>
      </c>
      <c r="AK406" s="899">
        <f t="shared" si="24"/>
        <v>0</v>
      </c>
      <c r="AL406" s="905">
        <f>IFERROR(INDEX(G406:R406,1,MATCH(Parametres!$B$3,G$1:R$1,0)-1)*IF(OR(F406="L",F406="S",F406="I"),-1,1),"")</f>
        <v>0</v>
      </c>
      <c r="AM406" s="905">
        <f t="shared" si="25"/>
        <v>0</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f t="shared" si="26"/>
        <v>0</v>
      </c>
      <c r="AU406" s="488">
        <f t="shared" si="26"/>
        <v>0</v>
      </c>
      <c r="AV406" s="899">
        <f>IFERROR(INDEX(V406:AG406,1,MATCH(Parametres!$B$3,V$1:AG$1,0)-1)*IF(OR(C406="L",C406="S",C406="I"),-1,1),"")</f>
        <v>0</v>
      </c>
      <c r="AW406" s="899">
        <f t="shared" si="27"/>
        <v>0</v>
      </c>
      <c r="AX406" s="899">
        <f>INDEX(V406:AG406,1,MATCH(Parametres!$B$3,V$1:AG$1,0))*IF(OR(C406="L",C406="S",C406="I"),-1,1)</f>
        <v>0</v>
      </c>
      <c r="AY406" s="487" t="s">
        <v>337</v>
      </c>
      <c r="AZ406" s="487" t="e">
        <f>+VLOOKUP($AJ406,Data_Validation!$A:$E,5,0)</f>
        <v>#N/A</v>
      </c>
    </row>
    <row r="407" spans="36:52" ht="15.75" customHeight="1">
      <c r="AJ407" s="899">
        <f t="shared" si="24"/>
        <v>0</v>
      </c>
      <c r="AK407" s="899">
        <f t="shared" si="24"/>
        <v>0</v>
      </c>
      <c r="AL407" s="905">
        <f>IFERROR(INDEX(G407:R407,1,MATCH(Parametres!$B$3,G$1:R$1,0)-1)*IF(OR(F407="L",F407="S",F407="I"),-1,1),"")</f>
        <v>0</v>
      </c>
      <c r="AM407" s="905">
        <f t="shared" si="25"/>
        <v>0</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f t="shared" si="26"/>
        <v>0</v>
      </c>
      <c r="AU407" s="488">
        <f t="shared" si="26"/>
        <v>0</v>
      </c>
      <c r="AV407" s="899">
        <f>IFERROR(INDEX(V407:AG407,1,MATCH(Parametres!$B$3,V$1:AG$1,0)-1)*IF(OR(C407="L",C407="S",C407="I"),-1,1),"")</f>
        <v>0</v>
      </c>
      <c r="AW407" s="899">
        <f t="shared" si="27"/>
        <v>0</v>
      </c>
      <c r="AX407" s="899">
        <f>INDEX(V407:AG407,1,MATCH(Parametres!$B$3,V$1:AG$1,0))*IF(OR(C407="L",C407="S",C407="I"),-1,1)</f>
        <v>0</v>
      </c>
      <c r="AY407" s="487" t="s">
        <v>337</v>
      </c>
      <c r="AZ407" s="487" t="e">
        <f>+VLOOKUP($AJ407,Data_Validation!$A:$E,5,0)</f>
        <v>#N/A</v>
      </c>
    </row>
    <row r="408" spans="36:52" ht="15.75" customHeight="1">
      <c r="AJ408" s="899">
        <f t="shared" si="24"/>
        <v>0</v>
      </c>
      <c r="AK408" s="899">
        <f t="shared" si="24"/>
        <v>0</v>
      </c>
      <c r="AL408" s="905">
        <f>IFERROR(INDEX(G408:R408,1,MATCH(Parametres!$B$3,G$1:R$1,0)-1)*IF(OR(F408="L",F408="S",F408="I"),-1,1),"")</f>
        <v>0</v>
      </c>
      <c r="AM408" s="905">
        <f t="shared" si="25"/>
        <v>0</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f t="shared" si="26"/>
        <v>0</v>
      </c>
      <c r="AU408" s="488">
        <f t="shared" si="26"/>
        <v>0</v>
      </c>
      <c r="AV408" s="899">
        <f>IFERROR(INDEX(V408:AG408,1,MATCH(Parametres!$B$3,V$1:AG$1,0)-1)*IF(OR(C408="L",C408="S",C408="I"),-1,1),"")</f>
        <v>0</v>
      </c>
      <c r="AW408" s="899">
        <f t="shared" si="27"/>
        <v>0</v>
      </c>
      <c r="AX408" s="899">
        <f>INDEX(V408:AG408,1,MATCH(Parametres!$B$3,V$1:AG$1,0))*IF(OR(C408="L",C408="S",C408="I"),-1,1)</f>
        <v>0</v>
      </c>
      <c r="AY408" s="487" t="s">
        <v>337</v>
      </c>
      <c r="AZ408" s="487" t="e">
        <f>+VLOOKUP($AJ408,Data_Validation!$A:$E,5,0)</f>
        <v>#N/A</v>
      </c>
    </row>
    <row r="409" spans="36:52" ht="15.75" customHeight="1">
      <c r="AJ409" s="899">
        <f t="shared" si="24"/>
        <v>0</v>
      </c>
      <c r="AK409" s="899">
        <f t="shared" si="24"/>
        <v>0</v>
      </c>
      <c r="AL409" s="905">
        <f>IFERROR(INDEX(G409:R409,1,MATCH(Parametres!$B$3,G$1:R$1,0)-1)*IF(OR(F409="L",F409="S",F409="I"),-1,1),"")</f>
        <v>0</v>
      </c>
      <c r="AM409" s="905">
        <f t="shared" si="25"/>
        <v>0</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f t="shared" si="26"/>
        <v>0</v>
      </c>
      <c r="AU409" s="488">
        <f t="shared" si="26"/>
        <v>0</v>
      </c>
      <c r="AV409" s="899">
        <f>IFERROR(INDEX(V409:AG409,1,MATCH(Parametres!$B$3,V$1:AG$1,0)-1)*IF(OR(C409="L",C409="S",C409="I"),-1,1),"")</f>
        <v>0</v>
      </c>
      <c r="AW409" s="899">
        <f t="shared" si="27"/>
        <v>0</v>
      </c>
      <c r="AX409" s="899">
        <f>INDEX(V409:AG409,1,MATCH(Parametres!$B$3,V$1:AG$1,0))*IF(OR(C409="L",C409="S",C409="I"),-1,1)</f>
        <v>0</v>
      </c>
      <c r="AY409" s="487" t="s">
        <v>337</v>
      </c>
      <c r="AZ409" s="487" t="e">
        <f>+VLOOKUP($AJ409,Data_Validation!$A:$E,5,0)</f>
        <v>#N/A</v>
      </c>
    </row>
    <row r="410" spans="36:52" ht="15.75" customHeight="1">
      <c r="AJ410" s="899">
        <f t="shared" si="24"/>
        <v>0</v>
      </c>
      <c r="AK410" s="899">
        <f t="shared" si="24"/>
        <v>0</v>
      </c>
      <c r="AL410" s="905">
        <f>IFERROR(INDEX(G410:R410,1,MATCH(Parametres!$B$3,G$1:R$1,0)-1)*IF(OR(F410="L",F410="S",F410="I"),-1,1),"")</f>
        <v>0</v>
      </c>
      <c r="AM410" s="905">
        <f t="shared" si="25"/>
        <v>0</v>
      </c>
      <c r="AN410" s="905">
        <f>INDEX(G410:R410,1,MATCH(Parametres!$B$3,G$1:R$1,0))*IF(OR(F410="L",F410="S",F410="I"),-1,1)</f>
        <v>0</v>
      </c>
      <c r="AO410" s="487" t="e">
        <f>+VLOOKUP($AJ410,Data_Validation!$A:$D,1,0)</f>
        <v>#N/A</v>
      </c>
      <c r="AP410" s="487" t="e">
        <f>+VLOOKUP($AJ410,Data_Validation!$A:$D,3,0)</f>
        <v>#N/A</v>
      </c>
      <c r="AQ410" s="487" t="e">
        <f>+VLOOKUP($AJ410,Data_Validation!$A:$D,4,0)</f>
        <v>#N/A</v>
      </c>
      <c r="AR410" s="487" t="s">
        <v>299</v>
      </c>
      <c r="AS410" s="487" t="e">
        <f>+VLOOKUP($AJ410,Data_Validation!$A:$E,5,0)</f>
        <v>#N/A</v>
      </c>
      <c r="AT410" s="904">
        <f t="shared" si="26"/>
        <v>0</v>
      </c>
      <c r="AU410" s="488">
        <f t="shared" si="26"/>
        <v>0</v>
      </c>
      <c r="AV410" s="899">
        <f>IFERROR(INDEX(V410:AG410,1,MATCH(Parametres!$B$3,V$1:AG$1,0)-1)*IF(OR(C410="L",C410="S",C410="I"),-1,1),"")</f>
        <v>0</v>
      </c>
      <c r="AW410" s="899">
        <f t="shared" si="27"/>
        <v>0</v>
      </c>
      <c r="AX410" s="899">
        <f>INDEX(V410:AG410,1,MATCH(Parametres!$B$3,V$1:AG$1,0))*IF(OR(C410="L",C410="S",C410="I"),-1,1)</f>
        <v>0</v>
      </c>
      <c r="AY410" s="487" t="s">
        <v>337</v>
      </c>
      <c r="AZ410" s="487" t="e">
        <f>+VLOOKUP($AJ410,Data_Validation!$A:$E,5,0)</f>
        <v>#N/A</v>
      </c>
    </row>
    <row r="411" spans="36:52" ht="15.75" customHeight="1">
      <c r="AJ411" s="899">
        <f t="shared" si="24"/>
        <v>0</v>
      </c>
      <c r="AK411" s="899">
        <f t="shared" si="24"/>
        <v>0</v>
      </c>
      <c r="AL411" s="905">
        <f>IFERROR(INDEX(G411:R411,1,MATCH(Parametres!$B$3,G$1:R$1,0)-1)*IF(OR(F411="L",F411="S",F411="I"),-1,1),"")</f>
        <v>0</v>
      </c>
      <c r="AM411" s="905">
        <f t="shared" si="25"/>
        <v>0</v>
      </c>
      <c r="AN411" s="905">
        <f>INDEX(G411:R411,1,MATCH(Parametres!$B$3,G$1:R$1,0))*IF(OR(F411="L",F411="S",F411="I"),-1,1)</f>
        <v>0</v>
      </c>
      <c r="AO411" s="487" t="e">
        <f>+VLOOKUP($AJ411,Data_Validation!$A:$D,1,0)</f>
        <v>#N/A</v>
      </c>
      <c r="AP411" s="487" t="e">
        <f>+VLOOKUP($AJ411,Data_Validation!$A:$D,3,0)</f>
        <v>#N/A</v>
      </c>
      <c r="AQ411" s="487" t="e">
        <f>+VLOOKUP($AJ411,Data_Validation!$A:$D,4,0)</f>
        <v>#N/A</v>
      </c>
      <c r="AR411" s="487" t="s">
        <v>299</v>
      </c>
      <c r="AS411" s="487" t="e">
        <f>+VLOOKUP($AJ411,Data_Validation!$A:$E,5,0)</f>
        <v>#N/A</v>
      </c>
      <c r="AT411" s="904">
        <f t="shared" si="26"/>
        <v>0</v>
      </c>
      <c r="AU411" s="488">
        <f t="shared" si="26"/>
        <v>0</v>
      </c>
      <c r="AV411" s="899">
        <f>IFERROR(INDEX(V411:AG411,1,MATCH(Parametres!$B$3,V$1:AG$1,0)-1)*IF(OR(C411="L",C411="S",C411="I"),-1,1),"")</f>
        <v>0</v>
      </c>
      <c r="AW411" s="899">
        <f t="shared" si="27"/>
        <v>0</v>
      </c>
      <c r="AX411" s="899">
        <f>INDEX(V411:AG411,1,MATCH(Parametres!$B$3,V$1:AG$1,0))*IF(OR(C411="L",C411="S",C411="I"),-1,1)</f>
        <v>0</v>
      </c>
      <c r="AY411" s="487" t="s">
        <v>337</v>
      </c>
      <c r="AZ411" s="487" t="e">
        <f>+VLOOKUP($AJ411,Data_Validation!$A:$E,5,0)</f>
        <v>#N/A</v>
      </c>
    </row>
    <row r="412" spans="36:52" ht="15.75" customHeight="1">
      <c r="AJ412" s="899">
        <f t="shared" si="24"/>
        <v>0</v>
      </c>
      <c r="AK412" s="899">
        <f t="shared" si="24"/>
        <v>0</v>
      </c>
      <c r="AL412" s="905">
        <f>IFERROR(INDEX(G412:R412,1,MATCH(Parametres!$B$3,G$1:R$1,0)-1)*IF(OR(F412="L",F412="S",F412="I"),-1,1),"")</f>
        <v>0</v>
      </c>
      <c r="AM412" s="905">
        <f t="shared" si="25"/>
        <v>0</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f t="shared" si="26"/>
        <v>0</v>
      </c>
      <c r="AU412" s="488">
        <f t="shared" si="26"/>
        <v>0</v>
      </c>
      <c r="AV412" s="899">
        <f>IFERROR(INDEX(V412:AG412,1,MATCH(Parametres!$B$3,V$1:AG$1,0)-1)*IF(OR(C412="L",C412="S",C412="I"),-1,1),"")</f>
        <v>0</v>
      </c>
      <c r="AW412" s="899">
        <f t="shared" si="27"/>
        <v>0</v>
      </c>
      <c r="AX412" s="899">
        <f>INDEX(V412:AG412,1,MATCH(Parametres!$B$3,V$1:AG$1,0))*IF(OR(C412="L",C412="S",C412="I"),-1,1)</f>
        <v>0</v>
      </c>
      <c r="AY412" s="487" t="s">
        <v>337</v>
      </c>
      <c r="AZ412" s="487" t="e">
        <f>+VLOOKUP($AJ412,Data_Validation!$A:$E,5,0)</f>
        <v>#N/A</v>
      </c>
    </row>
    <row r="413" spans="36:52" ht="15.75" customHeight="1">
      <c r="AJ413" s="899">
        <f t="shared" si="24"/>
        <v>0</v>
      </c>
      <c r="AK413" s="899">
        <f t="shared" si="24"/>
        <v>0</v>
      </c>
      <c r="AL413" s="905">
        <f>IFERROR(INDEX(G413:R413,1,MATCH(Parametres!$B$3,G$1:R$1,0)-1)*IF(OR(F413="L",F413="S",F413="I"),-1,1),"")</f>
        <v>0</v>
      </c>
      <c r="AM413" s="905">
        <f t="shared" si="25"/>
        <v>0</v>
      </c>
      <c r="AN413" s="905">
        <f>INDEX(G413:R413,1,MATCH(Parametres!$B$3,G$1:R$1,0))*IF(OR(F413="L",F413="S",F413="I"),-1,1)</f>
        <v>0</v>
      </c>
      <c r="AO413" s="487" t="e">
        <f>+VLOOKUP($AJ413,Data_Validation!$A:$D,1,0)</f>
        <v>#N/A</v>
      </c>
      <c r="AP413" s="487" t="e">
        <f>+VLOOKUP($AJ413,Data_Validation!$A:$D,3,0)</f>
        <v>#N/A</v>
      </c>
      <c r="AQ413" s="487" t="e">
        <f>+VLOOKUP($AJ413,Data_Validation!$A:$D,4,0)</f>
        <v>#N/A</v>
      </c>
      <c r="AR413" s="487" t="s">
        <v>299</v>
      </c>
      <c r="AS413" s="487" t="e">
        <f>+VLOOKUP($AJ413,Data_Validation!$A:$E,5,0)</f>
        <v>#N/A</v>
      </c>
      <c r="AT413" s="904">
        <f t="shared" si="26"/>
        <v>0</v>
      </c>
      <c r="AU413" s="488">
        <f t="shared" si="26"/>
        <v>0</v>
      </c>
      <c r="AV413" s="899">
        <f>IFERROR(INDEX(V413:AG413,1,MATCH(Parametres!$B$3,V$1:AG$1,0)-1)*IF(OR(C413="L",C413="S",C413="I"),-1,1),"")</f>
        <v>0</v>
      </c>
      <c r="AW413" s="899">
        <f t="shared" si="27"/>
        <v>0</v>
      </c>
      <c r="AX413" s="899">
        <f>INDEX(V413:AG413,1,MATCH(Parametres!$B$3,V$1:AG$1,0))*IF(OR(C413="L",C413="S",C413="I"),-1,1)</f>
        <v>0</v>
      </c>
      <c r="AY413" s="487" t="s">
        <v>337</v>
      </c>
      <c r="AZ413" s="487" t="e">
        <f>+VLOOKUP($AJ413,Data_Validation!$A:$E,5,0)</f>
        <v>#N/A</v>
      </c>
    </row>
    <row r="414" spans="36:52" ht="15.75" customHeight="1">
      <c r="AJ414" s="899">
        <f t="shared" si="24"/>
        <v>0</v>
      </c>
      <c r="AK414" s="899">
        <f t="shared" si="24"/>
        <v>0</v>
      </c>
      <c r="AL414" s="905">
        <f>IFERROR(INDEX(G414:R414,1,MATCH(Parametres!$B$3,G$1:R$1,0)-1)*IF(OR(F414="L",F414="S",F414="I"),-1,1),"")</f>
        <v>0</v>
      </c>
      <c r="AM414" s="905">
        <f t="shared" si="25"/>
        <v>0</v>
      </c>
      <c r="AN414" s="905">
        <f>INDEX(G414:R414,1,MATCH(Parametres!$B$3,G$1:R$1,0))*IF(OR(F414="L",F414="S",F414="I"),-1,1)</f>
        <v>0</v>
      </c>
      <c r="AO414" s="487" t="e">
        <f>+VLOOKUP($AJ414,Data_Validation!$A:$D,1,0)</f>
        <v>#N/A</v>
      </c>
      <c r="AP414" s="487" t="e">
        <f>+VLOOKUP($AJ414,Data_Validation!$A:$D,3,0)</f>
        <v>#N/A</v>
      </c>
      <c r="AQ414" s="487" t="e">
        <f>+VLOOKUP($AJ414,Data_Validation!$A:$D,4,0)</f>
        <v>#N/A</v>
      </c>
      <c r="AR414" s="487" t="s">
        <v>299</v>
      </c>
      <c r="AS414" s="487" t="e">
        <f>+VLOOKUP($AJ414,Data_Validation!$A:$E,5,0)</f>
        <v>#N/A</v>
      </c>
      <c r="AT414" s="904">
        <f t="shared" si="26"/>
        <v>0</v>
      </c>
      <c r="AU414" s="488">
        <f t="shared" si="26"/>
        <v>0</v>
      </c>
      <c r="AV414" s="899">
        <f>IFERROR(INDEX(V414:AG414,1,MATCH(Parametres!$B$3,V$1:AG$1,0)-1)*IF(OR(C414="L",C414="S",C414="I"),-1,1),"")</f>
        <v>0</v>
      </c>
      <c r="AW414" s="899">
        <f t="shared" si="27"/>
        <v>0</v>
      </c>
      <c r="AX414" s="899">
        <f>INDEX(V414:AG414,1,MATCH(Parametres!$B$3,V$1:AG$1,0))*IF(OR(C414="L",C414="S",C414="I"),-1,1)</f>
        <v>0</v>
      </c>
      <c r="AY414" s="487" t="s">
        <v>337</v>
      </c>
      <c r="AZ414" s="487" t="e">
        <f>+VLOOKUP($AJ414,Data_Validation!$A:$E,5,0)</f>
        <v>#N/A</v>
      </c>
    </row>
    <row r="415" spans="36:52" ht="15.75" customHeight="1">
      <c r="AJ415" s="899">
        <f t="shared" si="24"/>
        <v>0</v>
      </c>
      <c r="AK415" s="899">
        <f t="shared" si="24"/>
        <v>0</v>
      </c>
      <c r="AL415" s="905">
        <f>IFERROR(INDEX(G415:R415,1,MATCH(Parametres!$B$3,G$1:R$1,0)-1)*IF(OR(F415="L",F415="S",F415="I"),-1,1),"")</f>
        <v>0</v>
      </c>
      <c r="AM415" s="905">
        <f t="shared" si="25"/>
        <v>0</v>
      </c>
      <c r="AN415" s="905">
        <f>INDEX(G415:R415,1,MATCH(Parametres!$B$3,G$1:R$1,0))*IF(OR(F415="L",F415="S",F415="I"),-1,1)</f>
        <v>0</v>
      </c>
      <c r="AO415" s="487" t="e">
        <f>+VLOOKUP($AJ415,Data_Validation!$A:$D,1,0)</f>
        <v>#N/A</v>
      </c>
      <c r="AP415" s="487" t="e">
        <f>+VLOOKUP($AJ415,Data_Validation!$A:$D,3,0)</f>
        <v>#N/A</v>
      </c>
      <c r="AQ415" s="487" t="e">
        <f>+VLOOKUP($AJ415,Data_Validation!$A:$D,4,0)</f>
        <v>#N/A</v>
      </c>
      <c r="AR415" s="487" t="s">
        <v>299</v>
      </c>
      <c r="AS415" s="487" t="e">
        <f>+VLOOKUP($AJ415,Data_Validation!$A:$E,5,0)</f>
        <v>#N/A</v>
      </c>
      <c r="AT415" s="904">
        <f t="shared" si="26"/>
        <v>0</v>
      </c>
      <c r="AU415" s="488">
        <f t="shared" si="26"/>
        <v>0</v>
      </c>
      <c r="AV415" s="899">
        <f>IFERROR(INDEX(V415:AG415,1,MATCH(Parametres!$B$3,V$1:AG$1,0)-1)*IF(OR(C415="L",C415="S",C415="I"),-1,1),"")</f>
        <v>0</v>
      </c>
      <c r="AW415" s="899">
        <f t="shared" si="27"/>
        <v>0</v>
      </c>
      <c r="AX415" s="899">
        <f>INDEX(V415:AG415,1,MATCH(Parametres!$B$3,V$1:AG$1,0))*IF(OR(C415="L",C415="S",C415="I"),-1,1)</f>
        <v>0</v>
      </c>
      <c r="AY415" s="487" t="s">
        <v>337</v>
      </c>
      <c r="AZ415" s="487" t="e">
        <f>+VLOOKUP($AJ415,Data_Validation!$A:$E,5,0)</f>
        <v>#N/A</v>
      </c>
    </row>
    <row r="416" spans="36:52" ht="15.75" customHeight="1">
      <c r="AJ416" s="899">
        <f t="shared" si="24"/>
        <v>0</v>
      </c>
      <c r="AK416" s="899">
        <f t="shared" si="24"/>
        <v>0</v>
      </c>
      <c r="AL416" s="905">
        <f>IFERROR(INDEX(G416:R416,1,MATCH(Parametres!$B$3,G$1:R$1,0)-1)*IF(OR(F416="L",F416="S",F416="I"),-1,1),"")</f>
        <v>0</v>
      </c>
      <c r="AM416" s="905">
        <f t="shared" si="25"/>
        <v>0</v>
      </c>
      <c r="AN416" s="905">
        <f>INDEX(G416:R416,1,MATCH(Parametres!$B$3,G$1:R$1,0))*IF(OR(F416="L",F416="S",F416="I"),-1,1)</f>
        <v>0</v>
      </c>
      <c r="AO416" s="487" t="e">
        <f>+VLOOKUP($AJ416,Data_Validation!$A:$D,1,0)</f>
        <v>#N/A</v>
      </c>
      <c r="AP416" s="487" t="e">
        <f>+VLOOKUP($AJ416,Data_Validation!$A:$D,3,0)</f>
        <v>#N/A</v>
      </c>
      <c r="AQ416" s="487" t="e">
        <f>+VLOOKUP($AJ416,Data_Validation!$A:$D,4,0)</f>
        <v>#N/A</v>
      </c>
      <c r="AR416" s="487" t="s">
        <v>299</v>
      </c>
      <c r="AS416" s="487" t="e">
        <f>+VLOOKUP($AJ416,Data_Validation!$A:$E,5,0)</f>
        <v>#N/A</v>
      </c>
      <c r="AT416" s="904">
        <f t="shared" si="26"/>
        <v>0</v>
      </c>
      <c r="AU416" s="488">
        <f t="shared" si="26"/>
        <v>0</v>
      </c>
      <c r="AV416" s="899">
        <f>IFERROR(INDEX(V416:AG416,1,MATCH(Parametres!$B$3,V$1:AG$1,0)-1)*IF(OR(C416="L",C416="S",C416="I"),-1,1),"")</f>
        <v>0</v>
      </c>
      <c r="AW416" s="899">
        <f t="shared" si="27"/>
        <v>0</v>
      </c>
      <c r="AX416" s="899">
        <f>INDEX(V416:AG416,1,MATCH(Parametres!$B$3,V$1:AG$1,0))*IF(OR(C416="L",C416="S",C416="I"),-1,1)</f>
        <v>0</v>
      </c>
      <c r="AY416" s="487" t="s">
        <v>337</v>
      </c>
      <c r="AZ416" s="487" t="e">
        <f>+VLOOKUP($AJ416,Data_Validation!$A:$E,5,0)</f>
        <v>#N/A</v>
      </c>
    </row>
    <row r="417" spans="36:52" ht="15.75" customHeight="1">
      <c r="AJ417" s="899">
        <f t="shared" si="24"/>
        <v>0</v>
      </c>
      <c r="AK417" s="899">
        <f t="shared" si="24"/>
        <v>0</v>
      </c>
      <c r="AL417" s="905">
        <f>IFERROR(INDEX(G417:R417,1,MATCH(Parametres!$B$3,G$1:R$1,0)-1)*IF(OR(F417="L",F417="S",F417="I"),-1,1),"")</f>
        <v>0</v>
      </c>
      <c r="AM417" s="905">
        <f t="shared" si="25"/>
        <v>0</v>
      </c>
      <c r="AN417" s="905">
        <f>INDEX(G417:R417,1,MATCH(Parametres!$B$3,G$1:R$1,0))*IF(OR(F417="L",F417="S",F417="I"),-1,1)</f>
        <v>0</v>
      </c>
      <c r="AO417" s="487" t="e">
        <f>+VLOOKUP($AJ417,Data_Validation!$A:$D,1,0)</f>
        <v>#N/A</v>
      </c>
      <c r="AP417" s="487" t="e">
        <f>+VLOOKUP($AJ417,Data_Validation!$A:$D,3,0)</f>
        <v>#N/A</v>
      </c>
      <c r="AQ417" s="487" t="e">
        <f>+VLOOKUP($AJ417,Data_Validation!$A:$D,4,0)</f>
        <v>#N/A</v>
      </c>
      <c r="AR417" s="487" t="s">
        <v>299</v>
      </c>
      <c r="AS417" s="487" t="e">
        <f>+VLOOKUP($AJ417,Data_Validation!$A:$E,5,0)</f>
        <v>#N/A</v>
      </c>
      <c r="AT417" s="904">
        <f t="shared" si="26"/>
        <v>0</v>
      </c>
      <c r="AU417" s="488">
        <f t="shared" si="26"/>
        <v>0</v>
      </c>
      <c r="AV417" s="899">
        <f>IFERROR(INDEX(V417:AG417,1,MATCH(Parametres!$B$3,V$1:AG$1,0)-1)*IF(OR(C417="L",C417="S",C417="I"),-1,1),"")</f>
        <v>0</v>
      </c>
      <c r="AW417" s="899">
        <f t="shared" si="27"/>
        <v>0</v>
      </c>
      <c r="AX417" s="899">
        <f>INDEX(V417:AG417,1,MATCH(Parametres!$B$3,V$1:AG$1,0))*IF(OR(C417="L",C417="S",C417="I"),-1,1)</f>
        <v>0</v>
      </c>
      <c r="AY417" s="487" t="s">
        <v>337</v>
      </c>
      <c r="AZ417" s="487" t="e">
        <f>+VLOOKUP($AJ417,Data_Validation!$A:$E,5,0)</f>
        <v>#N/A</v>
      </c>
    </row>
    <row r="418" spans="36:52" ht="15.75" customHeight="1">
      <c r="AJ418" s="899">
        <f t="shared" si="24"/>
        <v>0</v>
      </c>
      <c r="AK418" s="899">
        <f t="shared" si="24"/>
        <v>0</v>
      </c>
      <c r="AL418" s="905">
        <f>IFERROR(INDEX(G418:R418,1,MATCH(Parametres!$B$3,G$1:R$1,0)-1)*IF(OR(F418="L",F418="S",F418="I"),-1,1),"")</f>
        <v>0</v>
      </c>
      <c r="AM418" s="905">
        <f t="shared" si="25"/>
        <v>0</v>
      </c>
      <c r="AN418" s="905">
        <f>INDEX(G418:R418,1,MATCH(Parametres!$B$3,G$1:R$1,0))*IF(OR(F418="L",F418="S",F418="I"),-1,1)</f>
        <v>0</v>
      </c>
      <c r="AO418" s="487" t="e">
        <f>+VLOOKUP($AJ418,Data_Validation!$A:$D,1,0)</f>
        <v>#N/A</v>
      </c>
      <c r="AP418" s="487" t="e">
        <f>+VLOOKUP($AJ418,Data_Validation!$A:$D,3,0)</f>
        <v>#N/A</v>
      </c>
      <c r="AQ418" s="487" t="e">
        <f>+VLOOKUP($AJ418,Data_Validation!$A:$D,4,0)</f>
        <v>#N/A</v>
      </c>
      <c r="AR418" s="487" t="s">
        <v>299</v>
      </c>
      <c r="AS418" s="487" t="e">
        <f>+VLOOKUP($AJ418,Data_Validation!$A:$E,5,0)</f>
        <v>#N/A</v>
      </c>
      <c r="AT418" s="904">
        <f t="shared" si="26"/>
        <v>0</v>
      </c>
      <c r="AU418" s="488">
        <f t="shared" si="26"/>
        <v>0</v>
      </c>
      <c r="AV418" s="899">
        <f>IFERROR(INDEX(V418:AG418,1,MATCH(Parametres!$B$3,V$1:AG$1,0)-1)*IF(OR(C418="L",C418="S",C418="I"),-1,1),"")</f>
        <v>0</v>
      </c>
      <c r="AW418" s="899">
        <f t="shared" si="27"/>
        <v>0</v>
      </c>
      <c r="AX418" s="899">
        <f>INDEX(V418:AG418,1,MATCH(Parametres!$B$3,V$1:AG$1,0))*IF(OR(C418="L",C418="S",C418="I"),-1,1)</f>
        <v>0</v>
      </c>
      <c r="AY418" s="487" t="s">
        <v>337</v>
      </c>
      <c r="AZ418" s="487" t="e">
        <f>+VLOOKUP($AJ418,Data_Validation!$A:$E,5,0)</f>
        <v>#N/A</v>
      </c>
    </row>
    <row r="419" spans="36:52" ht="15.75" customHeight="1">
      <c r="AJ419" s="899">
        <f t="shared" si="24"/>
        <v>0</v>
      </c>
      <c r="AK419" s="899">
        <f t="shared" si="24"/>
        <v>0</v>
      </c>
      <c r="AL419" s="905">
        <f>IFERROR(INDEX(G419:R419,1,MATCH(Parametres!$B$3,G$1:R$1,0)-1)*IF(OR(F419="L",F419="S",F419="I"),-1,1),"")</f>
        <v>0</v>
      </c>
      <c r="AM419" s="905">
        <f t="shared" si="25"/>
        <v>0</v>
      </c>
      <c r="AN419" s="905">
        <f>INDEX(G419:R419,1,MATCH(Parametres!$B$3,G$1:R$1,0))*IF(OR(F419="L",F419="S",F419="I"),-1,1)</f>
        <v>0</v>
      </c>
      <c r="AO419" s="487" t="e">
        <f>+VLOOKUP($AJ419,Data_Validation!$A:$D,1,0)</f>
        <v>#N/A</v>
      </c>
      <c r="AP419" s="487" t="e">
        <f>+VLOOKUP($AJ419,Data_Validation!$A:$D,3,0)</f>
        <v>#N/A</v>
      </c>
      <c r="AQ419" s="487" t="e">
        <f>+VLOOKUP($AJ419,Data_Validation!$A:$D,4,0)</f>
        <v>#N/A</v>
      </c>
      <c r="AR419" s="487" t="s">
        <v>299</v>
      </c>
      <c r="AS419" s="487" t="e">
        <f>+VLOOKUP($AJ419,Data_Validation!$A:$E,5,0)</f>
        <v>#N/A</v>
      </c>
      <c r="AT419" s="904">
        <f t="shared" si="26"/>
        <v>0</v>
      </c>
      <c r="AU419" s="488">
        <f t="shared" si="26"/>
        <v>0</v>
      </c>
      <c r="AV419" s="899">
        <f>IFERROR(INDEX(V419:AG419,1,MATCH(Parametres!$B$3,V$1:AG$1,0)-1)*IF(OR(C419="L",C419="S",C419="I"),-1,1),"")</f>
        <v>0</v>
      </c>
      <c r="AW419" s="899">
        <f t="shared" si="27"/>
        <v>0</v>
      </c>
      <c r="AX419" s="899">
        <f>INDEX(V419:AG419,1,MATCH(Parametres!$B$3,V$1:AG$1,0))*IF(OR(C419="L",C419="S",C419="I"),-1,1)</f>
        <v>0</v>
      </c>
      <c r="AY419" s="487" t="s">
        <v>337</v>
      </c>
      <c r="AZ419" s="487" t="e">
        <f>+VLOOKUP($AJ419,Data_Validation!$A:$E,5,0)</f>
        <v>#N/A</v>
      </c>
    </row>
    <row r="420" spans="36:52" ht="15.75" customHeight="1">
      <c r="AJ420" s="899">
        <f t="shared" si="24"/>
        <v>0</v>
      </c>
      <c r="AK420" s="899">
        <f t="shared" si="24"/>
        <v>0</v>
      </c>
      <c r="AL420" s="905">
        <f>IFERROR(INDEX(G420:R420,1,MATCH(Parametres!$B$3,G$1:R$1,0)-1)*IF(OR(F420="L",F420="S",F420="I"),-1,1),"")</f>
        <v>0</v>
      </c>
      <c r="AM420" s="905">
        <f t="shared" si="25"/>
        <v>0</v>
      </c>
      <c r="AN420" s="905">
        <f>INDEX(G420:R420,1,MATCH(Parametres!$B$3,G$1:R$1,0))*IF(OR(F420="L",F420="S",F420="I"),-1,1)</f>
        <v>0</v>
      </c>
      <c r="AO420" s="487" t="e">
        <f>+VLOOKUP($AJ420,Data_Validation!$A:$D,1,0)</f>
        <v>#N/A</v>
      </c>
      <c r="AP420" s="487" t="e">
        <f>+VLOOKUP($AJ420,Data_Validation!$A:$D,3,0)</f>
        <v>#N/A</v>
      </c>
      <c r="AQ420" s="487" t="e">
        <f>+VLOOKUP($AJ420,Data_Validation!$A:$D,4,0)</f>
        <v>#N/A</v>
      </c>
      <c r="AR420" s="487" t="s">
        <v>299</v>
      </c>
      <c r="AS420" s="487" t="e">
        <f>+VLOOKUP($AJ420,Data_Validation!$A:$E,5,0)</f>
        <v>#N/A</v>
      </c>
      <c r="AT420" s="904">
        <f t="shared" si="26"/>
        <v>0</v>
      </c>
      <c r="AU420" s="488">
        <f t="shared" si="26"/>
        <v>0</v>
      </c>
      <c r="AV420" s="899">
        <f>IFERROR(INDEX(V420:AG420,1,MATCH(Parametres!$B$3,V$1:AG$1,0)-1)*IF(OR(C420="L",C420="S",C420="I"),-1,1),"")</f>
        <v>0</v>
      </c>
      <c r="AW420" s="899">
        <f t="shared" si="27"/>
        <v>0</v>
      </c>
      <c r="AX420" s="899">
        <f>INDEX(V420:AG420,1,MATCH(Parametres!$B$3,V$1:AG$1,0))*IF(OR(C420="L",C420="S",C420="I"),-1,1)</f>
        <v>0</v>
      </c>
      <c r="AY420" s="487" t="s">
        <v>337</v>
      </c>
      <c r="AZ420" s="487" t="e">
        <f>+VLOOKUP($AJ420,Data_Validation!$A:$E,5,0)</f>
        <v>#N/A</v>
      </c>
    </row>
    <row r="421" spans="36:52" ht="15.75" customHeight="1">
      <c r="AJ421" s="899">
        <f t="shared" si="24"/>
        <v>0</v>
      </c>
      <c r="AK421" s="899">
        <f t="shared" si="24"/>
        <v>0</v>
      </c>
      <c r="AL421" s="905">
        <f>IFERROR(INDEX(G421:R421,1,MATCH(Parametres!$B$3,G$1:R$1,0)-1)*IF(OR(F421="L",F421="S",F421="I"),-1,1),"")</f>
        <v>0</v>
      </c>
      <c r="AM421" s="905">
        <f t="shared" si="25"/>
        <v>0</v>
      </c>
      <c r="AN421" s="905">
        <f>INDEX(G421:R421,1,MATCH(Parametres!$B$3,G$1:R$1,0))*IF(OR(F421="L",F421="S",F421="I"),-1,1)</f>
        <v>0</v>
      </c>
      <c r="AO421" s="487" t="e">
        <f>+VLOOKUP($AJ421,Data_Validation!$A:$D,1,0)</f>
        <v>#N/A</v>
      </c>
      <c r="AP421" s="487" t="e">
        <f>+VLOOKUP($AJ421,Data_Validation!$A:$D,3,0)</f>
        <v>#N/A</v>
      </c>
      <c r="AQ421" s="487" t="e">
        <f>+VLOOKUP($AJ421,Data_Validation!$A:$D,4,0)</f>
        <v>#N/A</v>
      </c>
      <c r="AR421" s="487" t="s">
        <v>299</v>
      </c>
      <c r="AS421" s="487" t="e">
        <f>+VLOOKUP($AJ421,Data_Validation!$A:$E,5,0)</f>
        <v>#N/A</v>
      </c>
      <c r="AT421" s="904">
        <f t="shared" si="26"/>
        <v>0</v>
      </c>
      <c r="AU421" s="488">
        <f t="shared" si="26"/>
        <v>0</v>
      </c>
      <c r="AV421" s="899">
        <f>IFERROR(INDEX(V421:AG421,1,MATCH(Parametres!$B$3,V$1:AG$1,0)-1)*IF(OR(C421="L",C421="S",C421="I"),-1,1),"")</f>
        <v>0</v>
      </c>
      <c r="AW421" s="899">
        <f t="shared" si="27"/>
        <v>0</v>
      </c>
      <c r="AX421" s="899">
        <f>INDEX(V421:AG421,1,MATCH(Parametres!$B$3,V$1:AG$1,0))*IF(OR(C421="L",C421="S",C421="I"),-1,1)</f>
        <v>0</v>
      </c>
      <c r="AY421" s="487" t="s">
        <v>337</v>
      </c>
      <c r="AZ421" s="487" t="e">
        <f>+VLOOKUP($AJ421,Data_Validation!$A:$E,5,0)</f>
        <v>#N/A</v>
      </c>
    </row>
    <row r="422" spans="36:52" ht="15.75" customHeight="1">
      <c r="AJ422" s="899">
        <f t="shared" si="24"/>
        <v>0</v>
      </c>
      <c r="AK422" s="899">
        <f t="shared" si="24"/>
        <v>0</v>
      </c>
      <c r="AL422" s="905">
        <f>IFERROR(INDEX(G422:R422,1,MATCH(Parametres!$B$3,G$1:R$1,0)-1)*IF(OR(F422="L",F422="S",F422="I"),-1,1),"")</f>
        <v>0</v>
      </c>
      <c r="AM422" s="905">
        <f t="shared" si="25"/>
        <v>0</v>
      </c>
      <c r="AN422" s="905">
        <f>INDEX(G422:R422,1,MATCH(Parametres!$B$3,G$1:R$1,0))*IF(OR(F422="L",F422="S",F422="I"),-1,1)</f>
        <v>0</v>
      </c>
      <c r="AO422" s="487" t="e">
        <f>+VLOOKUP($AJ422,Data_Validation!$A:$D,1,0)</f>
        <v>#N/A</v>
      </c>
      <c r="AP422" s="487" t="e">
        <f>+VLOOKUP($AJ422,Data_Validation!$A:$D,3,0)</f>
        <v>#N/A</v>
      </c>
      <c r="AQ422" s="487" t="e">
        <f>+VLOOKUP($AJ422,Data_Validation!$A:$D,4,0)</f>
        <v>#N/A</v>
      </c>
      <c r="AR422" s="487" t="s">
        <v>299</v>
      </c>
      <c r="AS422" s="487" t="e">
        <f>+VLOOKUP($AJ422,Data_Validation!$A:$E,5,0)</f>
        <v>#N/A</v>
      </c>
      <c r="AT422" s="904">
        <f t="shared" si="26"/>
        <v>0</v>
      </c>
      <c r="AU422" s="488">
        <f t="shared" si="26"/>
        <v>0</v>
      </c>
      <c r="AV422" s="899">
        <f>IFERROR(INDEX(V422:AG422,1,MATCH(Parametres!$B$3,V$1:AG$1,0)-1)*IF(OR(C422="L",C422="S",C422="I"),-1,1),"")</f>
        <v>0</v>
      </c>
      <c r="AW422" s="899">
        <f t="shared" si="27"/>
        <v>0</v>
      </c>
      <c r="AX422" s="899">
        <f>INDEX(V422:AG422,1,MATCH(Parametres!$B$3,V$1:AG$1,0))*IF(OR(C422="L",C422="S",C422="I"),-1,1)</f>
        <v>0</v>
      </c>
      <c r="AY422" s="487" t="s">
        <v>337</v>
      </c>
      <c r="AZ422" s="487" t="e">
        <f>+VLOOKUP($AJ422,Data_Validation!$A:$E,5,0)</f>
        <v>#N/A</v>
      </c>
    </row>
    <row r="423" spans="36:52" ht="15.75" customHeight="1">
      <c r="AJ423" s="899">
        <f t="shared" si="24"/>
        <v>0</v>
      </c>
      <c r="AK423" s="899">
        <f t="shared" si="24"/>
        <v>0</v>
      </c>
      <c r="AL423" s="905">
        <f>IFERROR(INDEX(G423:R423,1,MATCH(Parametres!$B$3,G$1:R$1,0)-1)*IF(OR(F423="L",F423="S",F423="I"),-1,1),"")</f>
        <v>0</v>
      </c>
      <c r="AM423" s="905">
        <f t="shared" si="25"/>
        <v>0</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f t="shared" si="26"/>
        <v>0</v>
      </c>
      <c r="AU423" s="488">
        <f t="shared" si="26"/>
        <v>0</v>
      </c>
      <c r="AV423" s="899">
        <f>IFERROR(INDEX(V423:AG423,1,MATCH(Parametres!$B$3,V$1:AG$1,0)-1)*IF(OR(C423="L",C423="S",C423="I"),-1,1),"")</f>
        <v>0</v>
      </c>
      <c r="AW423" s="899">
        <f t="shared" si="27"/>
        <v>0</v>
      </c>
      <c r="AX423" s="899">
        <f>INDEX(V423:AG423,1,MATCH(Parametres!$B$3,V$1:AG$1,0))*IF(OR(C423="L",C423="S",C423="I"),-1,1)</f>
        <v>0</v>
      </c>
      <c r="AY423" s="487" t="s">
        <v>337</v>
      </c>
      <c r="AZ423" s="487" t="e">
        <f>+VLOOKUP($AJ423,Data_Validation!$A:$E,5,0)</f>
        <v>#N/A</v>
      </c>
    </row>
    <row r="424" spans="36:52" ht="15.75" customHeight="1">
      <c r="AJ424" s="899">
        <f t="shared" si="24"/>
        <v>0</v>
      </c>
      <c r="AK424" s="899">
        <f t="shared" si="24"/>
        <v>0</v>
      </c>
      <c r="AL424" s="905">
        <f>IFERROR(INDEX(G424:R424,1,MATCH(Parametres!$B$3,G$1:R$1,0)-1)*IF(OR(F424="L",F424="S",F424="I"),-1,1),"")</f>
        <v>0</v>
      </c>
      <c r="AM424" s="905">
        <f t="shared" si="25"/>
        <v>0</v>
      </c>
      <c r="AN424" s="905">
        <f>INDEX(G424:R424,1,MATCH(Parametres!$B$3,G$1:R$1,0))*IF(OR(F424="L",F424="S",F424="I"),-1,1)</f>
        <v>0</v>
      </c>
      <c r="AO424" s="487" t="e">
        <f>+VLOOKUP($AJ424,Data_Validation!$A:$D,1,0)</f>
        <v>#N/A</v>
      </c>
      <c r="AP424" s="487" t="e">
        <f>+VLOOKUP($AJ424,Data_Validation!$A:$D,3,0)</f>
        <v>#N/A</v>
      </c>
      <c r="AQ424" s="487" t="e">
        <f>+VLOOKUP($AJ424,Data_Validation!$A:$D,4,0)</f>
        <v>#N/A</v>
      </c>
      <c r="AR424" s="487" t="s">
        <v>299</v>
      </c>
      <c r="AS424" s="487" t="e">
        <f>+VLOOKUP($AJ424,Data_Validation!$A:$E,5,0)</f>
        <v>#N/A</v>
      </c>
      <c r="AT424" s="904">
        <f t="shared" si="26"/>
        <v>0</v>
      </c>
      <c r="AU424" s="488">
        <f t="shared" si="26"/>
        <v>0</v>
      </c>
      <c r="AV424" s="899">
        <f>IFERROR(INDEX(V424:AG424,1,MATCH(Parametres!$B$3,V$1:AG$1,0)-1)*IF(OR(C424="L",C424="S",C424="I"),-1,1),"")</f>
        <v>0</v>
      </c>
      <c r="AW424" s="899">
        <f t="shared" si="27"/>
        <v>0</v>
      </c>
      <c r="AX424" s="899">
        <f>INDEX(V424:AG424,1,MATCH(Parametres!$B$3,V$1:AG$1,0))*IF(OR(C424="L",C424="S",C424="I"),-1,1)</f>
        <v>0</v>
      </c>
      <c r="AY424" s="487" t="s">
        <v>337</v>
      </c>
      <c r="AZ424" s="487" t="e">
        <f>+VLOOKUP($AJ424,Data_Validation!$A:$E,5,0)</f>
        <v>#N/A</v>
      </c>
    </row>
    <row r="425" spans="36:52" ht="15.75" customHeight="1">
      <c r="AJ425" s="899">
        <f t="shared" si="24"/>
        <v>0</v>
      </c>
      <c r="AK425" s="899">
        <f t="shared" si="24"/>
        <v>0</v>
      </c>
      <c r="AL425" s="905">
        <f>IFERROR(INDEX(G425:R425,1,MATCH(Parametres!$B$3,G$1:R$1,0)-1)*IF(OR(F425="L",F425="S",F425="I"),-1,1),"")</f>
        <v>0</v>
      </c>
      <c r="AM425" s="905">
        <f t="shared" si="25"/>
        <v>0</v>
      </c>
      <c r="AN425" s="905">
        <f>INDEX(G425:R425,1,MATCH(Parametres!$B$3,G$1:R$1,0))*IF(OR(F425="L",F425="S",F425="I"),-1,1)</f>
        <v>0</v>
      </c>
      <c r="AO425" s="487" t="e">
        <f>+VLOOKUP($AJ425,Data_Validation!$A:$D,1,0)</f>
        <v>#N/A</v>
      </c>
      <c r="AP425" s="487" t="e">
        <f>+VLOOKUP($AJ425,Data_Validation!$A:$D,3,0)</f>
        <v>#N/A</v>
      </c>
      <c r="AQ425" s="487" t="e">
        <f>+VLOOKUP($AJ425,Data_Validation!$A:$D,4,0)</f>
        <v>#N/A</v>
      </c>
      <c r="AR425" s="487" t="s">
        <v>299</v>
      </c>
      <c r="AS425" s="487" t="e">
        <f>+VLOOKUP($AJ425,Data_Validation!$A:$E,5,0)</f>
        <v>#N/A</v>
      </c>
      <c r="AT425" s="904">
        <f t="shared" si="26"/>
        <v>0</v>
      </c>
      <c r="AU425" s="488">
        <f t="shared" si="26"/>
        <v>0</v>
      </c>
      <c r="AV425" s="899">
        <f>IFERROR(INDEX(V425:AG425,1,MATCH(Parametres!$B$3,V$1:AG$1,0)-1)*IF(OR(C425="L",C425="S",C425="I"),-1,1),"")</f>
        <v>0</v>
      </c>
      <c r="AW425" s="899">
        <f t="shared" si="27"/>
        <v>0</v>
      </c>
      <c r="AX425" s="899">
        <f>INDEX(V425:AG425,1,MATCH(Parametres!$B$3,V$1:AG$1,0))*IF(OR(C425="L",C425="S",C425="I"),-1,1)</f>
        <v>0</v>
      </c>
      <c r="AY425" s="487" t="s">
        <v>337</v>
      </c>
      <c r="AZ425" s="487" t="e">
        <f>+VLOOKUP($AJ425,Data_Validation!$A:$E,5,0)</f>
        <v>#N/A</v>
      </c>
    </row>
    <row r="426" spans="36:52" ht="15.75" customHeight="1">
      <c r="AJ426" s="899">
        <f t="shared" si="24"/>
        <v>0</v>
      </c>
      <c r="AK426" s="899">
        <f t="shared" si="24"/>
        <v>0</v>
      </c>
      <c r="AL426" s="905">
        <f>IFERROR(INDEX(G426:R426,1,MATCH(Parametres!$B$3,G$1:R$1,0)-1)*IF(OR(F426="L",F426="S",F426="I"),-1,1),"")</f>
        <v>0</v>
      </c>
      <c r="AM426" s="905">
        <f t="shared" si="25"/>
        <v>0</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f t="shared" si="26"/>
        <v>0</v>
      </c>
      <c r="AU426" s="488">
        <f t="shared" si="26"/>
        <v>0</v>
      </c>
      <c r="AV426" s="899">
        <f>IFERROR(INDEX(V426:AG426,1,MATCH(Parametres!$B$3,V$1:AG$1,0)-1)*IF(OR(C426="L",C426="S",C426="I"),-1,1),"")</f>
        <v>0</v>
      </c>
      <c r="AW426" s="899">
        <f t="shared" si="27"/>
        <v>0</v>
      </c>
      <c r="AX426" s="899">
        <f>INDEX(V426:AG426,1,MATCH(Parametres!$B$3,V$1:AG$1,0))*IF(OR(C426="L",C426="S",C426="I"),-1,1)</f>
        <v>0</v>
      </c>
      <c r="AY426" s="487" t="s">
        <v>337</v>
      </c>
      <c r="AZ426" s="487" t="e">
        <f>+VLOOKUP($AJ426,Data_Validation!$A:$E,5,0)</f>
        <v>#N/A</v>
      </c>
    </row>
    <row r="427" spans="36:52" ht="15.75" customHeight="1">
      <c r="AJ427" s="899">
        <f t="shared" si="24"/>
        <v>0</v>
      </c>
      <c r="AK427" s="899">
        <f t="shared" si="24"/>
        <v>0</v>
      </c>
      <c r="AL427" s="905">
        <f>IFERROR(INDEX(G427:R427,1,MATCH(Parametres!$B$3,G$1:R$1,0)-1)*IF(OR(F427="L",F427="S",F427="I"),-1,1),"")</f>
        <v>0</v>
      </c>
      <c r="AM427" s="905">
        <f t="shared" si="25"/>
        <v>0</v>
      </c>
      <c r="AN427" s="905">
        <f>INDEX(G427:R427,1,MATCH(Parametres!$B$3,G$1:R$1,0))*IF(OR(F427="L",F427="S",F427="I"),-1,1)</f>
        <v>0</v>
      </c>
      <c r="AO427" s="487" t="e">
        <f>+VLOOKUP($AJ427,Data_Validation!$A:$D,1,0)</f>
        <v>#N/A</v>
      </c>
      <c r="AP427" s="487" t="e">
        <f>+VLOOKUP($AJ427,Data_Validation!$A:$D,3,0)</f>
        <v>#N/A</v>
      </c>
      <c r="AQ427" s="487" t="e">
        <f>+VLOOKUP($AJ427,Data_Validation!$A:$D,4,0)</f>
        <v>#N/A</v>
      </c>
      <c r="AR427" s="487" t="s">
        <v>299</v>
      </c>
      <c r="AS427" s="487" t="e">
        <f>+VLOOKUP($AJ427,Data_Validation!$A:$E,5,0)</f>
        <v>#N/A</v>
      </c>
      <c r="AT427" s="904">
        <f t="shared" si="26"/>
        <v>0</v>
      </c>
      <c r="AU427" s="488">
        <f t="shared" si="26"/>
        <v>0</v>
      </c>
      <c r="AV427" s="899">
        <f>IFERROR(INDEX(V427:AG427,1,MATCH(Parametres!$B$3,V$1:AG$1,0)-1)*IF(OR(C427="L",C427="S",C427="I"),-1,1),"")</f>
        <v>0</v>
      </c>
      <c r="AW427" s="899">
        <f t="shared" si="27"/>
        <v>0</v>
      </c>
      <c r="AX427" s="899">
        <f>INDEX(V427:AG427,1,MATCH(Parametres!$B$3,V$1:AG$1,0))*IF(OR(C427="L",C427="S",C427="I"),-1,1)</f>
        <v>0</v>
      </c>
      <c r="AY427" s="487" t="s">
        <v>337</v>
      </c>
      <c r="AZ427" s="487" t="e">
        <f>+VLOOKUP($AJ427,Data_Validation!$A:$E,5,0)</f>
        <v>#N/A</v>
      </c>
    </row>
    <row r="428" spans="36:52" ht="15.75" customHeight="1">
      <c r="AJ428" s="899">
        <f t="shared" si="24"/>
        <v>0</v>
      </c>
      <c r="AK428" s="899">
        <f t="shared" si="24"/>
        <v>0</v>
      </c>
      <c r="AL428" s="905">
        <f>IFERROR(INDEX(G428:R428,1,MATCH(Parametres!$B$3,G$1:R$1,0)-1)*IF(OR(F428="L",F428="S",F428="I"),-1,1),"")</f>
        <v>0</v>
      </c>
      <c r="AM428" s="905">
        <f t="shared" si="25"/>
        <v>0</v>
      </c>
      <c r="AN428" s="905">
        <f>INDEX(G428:R428,1,MATCH(Parametres!$B$3,G$1:R$1,0))*IF(OR(F428="L",F428="S",F428="I"),-1,1)</f>
        <v>0</v>
      </c>
      <c r="AO428" s="487" t="e">
        <f>+VLOOKUP($AJ428,Data_Validation!$A:$D,1,0)</f>
        <v>#N/A</v>
      </c>
      <c r="AP428" s="487" t="e">
        <f>+VLOOKUP($AJ428,Data_Validation!$A:$D,3,0)</f>
        <v>#N/A</v>
      </c>
      <c r="AQ428" s="487" t="e">
        <f>+VLOOKUP($AJ428,Data_Validation!$A:$D,4,0)</f>
        <v>#N/A</v>
      </c>
      <c r="AR428" s="487" t="s">
        <v>299</v>
      </c>
      <c r="AS428" s="487" t="e">
        <f>+VLOOKUP($AJ428,Data_Validation!$A:$E,5,0)</f>
        <v>#N/A</v>
      </c>
      <c r="AT428" s="904">
        <f t="shared" si="26"/>
        <v>0</v>
      </c>
      <c r="AU428" s="488">
        <f t="shared" si="26"/>
        <v>0</v>
      </c>
      <c r="AV428" s="899">
        <f>IFERROR(INDEX(V428:AG428,1,MATCH(Parametres!$B$3,V$1:AG$1,0)-1)*IF(OR(C428="L",C428="S",C428="I"),-1,1),"")</f>
        <v>0</v>
      </c>
      <c r="AW428" s="899">
        <f t="shared" si="27"/>
        <v>0</v>
      </c>
      <c r="AX428" s="899">
        <f>INDEX(V428:AG428,1,MATCH(Parametres!$B$3,V$1:AG$1,0))*IF(OR(C428="L",C428="S",C428="I"),-1,1)</f>
        <v>0</v>
      </c>
      <c r="AY428" s="487" t="s">
        <v>337</v>
      </c>
      <c r="AZ428" s="487" t="e">
        <f>+VLOOKUP($AJ428,Data_Validation!$A:$E,5,0)</f>
        <v>#N/A</v>
      </c>
    </row>
    <row r="429" spans="36:52" ht="15.75" customHeight="1">
      <c r="AJ429" s="899">
        <f t="shared" si="24"/>
        <v>0</v>
      </c>
      <c r="AK429" s="899">
        <f t="shared" si="24"/>
        <v>0</v>
      </c>
      <c r="AL429" s="905">
        <f>IFERROR(INDEX(G429:R429,1,MATCH(Parametres!$B$3,G$1:R$1,0)-1)*IF(OR(F429="L",F429="S",F429="I"),-1,1),"")</f>
        <v>0</v>
      </c>
      <c r="AM429" s="905">
        <f t="shared" si="25"/>
        <v>0</v>
      </c>
      <c r="AN429" s="905">
        <f>INDEX(G429:R429,1,MATCH(Parametres!$B$3,G$1:R$1,0))*IF(OR(F429="L",F429="S",F429="I"),-1,1)</f>
        <v>0</v>
      </c>
      <c r="AO429" s="487" t="e">
        <f>+VLOOKUP($AJ429,Data_Validation!$A:$D,1,0)</f>
        <v>#N/A</v>
      </c>
      <c r="AP429" s="487" t="e">
        <f>+VLOOKUP($AJ429,Data_Validation!$A:$D,3,0)</f>
        <v>#N/A</v>
      </c>
      <c r="AQ429" s="487" t="e">
        <f>+VLOOKUP($AJ429,Data_Validation!$A:$D,4,0)</f>
        <v>#N/A</v>
      </c>
      <c r="AR429" s="487" t="s">
        <v>299</v>
      </c>
      <c r="AS429" s="487" t="e">
        <f>+VLOOKUP($AJ429,Data_Validation!$A:$E,5,0)</f>
        <v>#N/A</v>
      </c>
      <c r="AT429" s="904">
        <f t="shared" si="26"/>
        <v>0</v>
      </c>
      <c r="AU429" s="488">
        <f t="shared" si="26"/>
        <v>0</v>
      </c>
      <c r="AV429" s="899">
        <f>IFERROR(INDEX(V429:AG429,1,MATCH(Parametres!$B$3,V$1:AG$1,0)-1)*IF(OR(C429="L",C429="S",C429="I"),-1,1),"")</f>
        <v>0</v>
      </c>
      <c r="AW429" s="899">
        <f t="shared" si="27"/>
        <v>0</v>
      </c>
      <c r="AX429" s="899">
        <f>INDEX(V429:AG429,1,MATCH(Parametres!$B$3,V$1:AG$1,0))*IF(OR(C429="L",C429="S",C429="I"),-1,1)</f>
        <v>0</v>
      </c>
      <c r="AY429" s="487" t="s">
        <v>337</v>
      </c>
      <c r="AZ429" s="487" t="e">
        <f>+VLOOKUP($AJ429,Data_Validation!$A:$E,5,0)</f>
        <v>#N/A</v>
      </c>
    </row>
    <row r="430" spans="36:52" ht="15.75" customHeight="1">
      <c r="AJ430" s="899">
        <f t="shared" si="24"/>
        <v>0</v>
      </c>
      <c r="AK430" s="899">
        <f t="shared" si="24"/>
        <v>0</v>
      </c>
      <c r="AL430" s="905">
        <f>IFERROR(INDEX(G430:R430,1,MATCH(Parametres!$B$3,G$1:R$1,0)-1)*IF(OR(F430="L",F430="S",F430="I"),-1,1),"")</f>
        <v>0</v>
      </c>
      <c r="AM430" s="905">
        <f t="shared" si="25"/>
        <v>0</v>
      </c>
      <c r="AN430" s="905">
        <f>INDEX(G430:R430,1,MATCH(Parametres!$B$3,G$1:R$1,0))*IF(OR(F430="L",F430="S",F430="I"),-1,1)</f>
        <v>0</v>
      </c>
      <c r="AO430" s="487" t="e">
        <f>+VLOOKUP($AJ430,Data_Validation!$A:$D,1,0)</f>
        <v>#N/A</v>
      </c>
      <c r="AP430" s="487" t="e">
        <f>+VLOOKUP($AJ430,Data_Validation!$A:$D,3,0)</f>
        <v>#N/A</v>
      </c>
      <c r="AQ430" s="487" t="e">
        <f>+VLOOKUP($AJ430,Data_Validation!$A:$D,4,0)</f>
        <v>#N/A</v>
      </c>
      <c r="AR430" s="487" t="s">
        <v>299</v>
      </c>
      <c r="AS430" s="487" t="e">
        <f>+VLOOKUP($AJ430,Data_Validation!$A:$E,5,0)</f>
        <v>#N/A</v>
      </c>
      <c r="AT430" s="904">
        <f t="shared" si="26"/>
        <v>0</v>
      </c>
      <c r="AU430" s="488">
        <f t="shared" si="26"/>
        <v>0</v>
      </c>
      <c r="AV430" s="899">
        <f>IFERROR(INDEX(V430:AG430,1,MATCH(Parametres!$B$3,V$1:AG$1,0)-1)*IF(OR(C430="L",C430="S",C430="I"),-1,1),"")</f>
        <v>0</v>
      </c>
      <c r="AW430" s="899">
        <f t="shared" si="27"/>
        <v>0</v>
      </c>
      <c r="AX430" s="899">
        <f>INDEX(V430:AG430,1,MATCH(Parametres!$B$3,V$1:AG$1,0))*IF(OR(C430="L",C430="S",C430="I"),-1,1)</f>
        <v>0</v>
      </c>
      <c r="AY430" s="487" t="s">
        <v>337</v>
      </c>
      <c r="AZ430" s="487" t="e">
        <f>+VLOOKUP($AJ430,Data_Validation!$A:$E,5,0)</f>
        <v>#N/A</v>
      </c>
    </row>
    <row r="431" spans="36:52" ht="15.75" customHeight="1">
      <c r="AJ431" s="899">
        <f t="shared" si="24"/>
        <v>0</v>
      </c>
      <c r="AK431" s="899">
        <f t="shared" si="24"/>
        <v>0</v>
      </c>
      <c r="AL431" s="905">
        <f>IFERROR(INDEX(G431:R431,1,MATCH(Parametres!$B$3,G$1:R$1,0)-1)*IF(OR(F431="L",F431="S",F431="I"),-1,1),"")</f>
        <v>0</v>
      </c>
      <c r="AM431" s="905">
        <f t="shared" si="25"/>
        <v>0</v>
      </c>
      <c r="AN431" s="905">
        <f>INDEX(G431:R431,1,MATCH(Parametres!$B$3,G$1:R$1,0))*IF(OR(F431="L",F431="S",F431="I"),-1,1)</f>
        <v>0</v>
      </c>
      <c r="AO431" s="487" t="e">
        <f>+VLOOKUP($AJ431,Data_Validation!$A:$D,1,0)</f>
        <v>#N/A</v>
      </c>
      <c r="AP431" s="487" t="e">
        <f>+VLOOKUP($AJ431,Data_Validation!$A:$D,3,0)</f>
        <v>#N/A</v>
      </c>
      <c r="AQ431" s="487" t="e">
        <f>+VLOOKUP($AJ431,Data_Validation!$A:$D,4,0)</f>
        <v>#N/A</v>
      </c>
      <c r="AR431" s="487" t="s">
        <v>299</v>
      </c>
      <c r="AS431" s="487" t="e">
        <f>+VLOOKUP($AJ431,Data_Validation!$A:$E,5,0)</f>
        <v>#N/A</v>
      </c>
      <c r="AT431" s="904">
        <f t="shared" si="26"/>
        <v>0</v>
      </c>
      <c r="AU431" s="488">
        <f t="shared" si="26"/>
        <v>0</v>
      </c>
      <c r="AV431" s="899">
        <f>IFERROR(INDEX(V431:AG431,1,MATCH(Parametres!$B$3,V$1:AG$1,0)-1)*IF(OR(C431="L",C431="S",C431="I"),-1,1),"")</f>
        <v>0</v>
      </c>
      <c r="AW431" s="899">
        <f t="shared" si="27"/>
        <v>0</v>
      </c>
      <c r="AX431" s="899">
        <f>INDEX(V431:AG431,1,MATCH(Parametres!$B$3,V$1:AG$1,0))*IF(OR(C431="L",C431="S",C431="I"),-1,1)</f>
        <v>0</v>
      </c>
      <c r="AY431" s="487" t="s">
        <v>337</v>
      </c>
      <c r="AZ431" s="487" t="e">
        <f>+VLOOKUP($AJ431,Data_Validation!$A:$E,5,0)</f>
        <v>#N/A</v>
      </c>
    </row>
    <row r="432" spans="36:52" ht="15.75" customHeight="1">
      <c r="AJ432" s="899">
        <f t="shared" si="24"/>
        <v>0</v>
      </c>
      <c r="AK432" s="899">
        <f t="shared" si="24"/>
        <v>0</v>
      </c>
      <c r="AL432" s="905">
        <f>IFERROR(INDEX(G432:R432,1,MATCH(Parametres!$B$3,G$1:R$1,0)-1)*IF(OR(F432="L",F432="S",F432="I"),-1,1),"")</f>
        <v>0</v>
      </c>
      <c r="AM432" s="905">
        <f t="shared" si="25"/>
        <v>0</v>
      </c>
      <c r="AN432" s="905">
        <f>INDEX(G432:R432,1,MATCH(Parametres!$B$3,G$1:R$1,0))*IF(OR(F432="L",F432="S",F432="I"),-1,1)</f>
        <v>0</v>
      </c>
      <c r="AO432" s="487" t="e">
        <f>+VLOOKUP($AJ432,Data_Validation!$A:$D,1,0)</f>
        <v>#N/A</v>
      </c>
      <c r="AP432" s="487" t="e">
        <f>+VLOOKUP($AJ432,Data_Validation!$A:$D,3,0)</f>
        <v>#N/A</v>
      </c>
      <c r="AQ432" s="487" t="e">
        <f>+VLOOKUP($AJ432,Data_Validation!$A:$D,4,0)</f>
        <v>#N/A</v>
      </c>
      <c r="AR432" s="487" t="s">
        <v>299</v>
      </c>
      <c r="AS432" s="487" t="e">
        <f>+VLOOKUP($AJ432,Data_Validation!$A:$E,5,0)</f>
        <v>#N/A</v>
      </c>
      <c r="AT432" s="904">
        <f t="shared" si="26"/>
        <v>0</v>
      </c>
      <c r="AU432" s="488">
        <f t="shared" si="26"/>
        <v>0</v>
      </c>
      <c r="AV432" s="899">
        <f>IFERROR(INDEX(V432:AG432,1,MATCH(Parametres!$B$3,V$1:AG$1,0)-1)*IF(OR(C432="L",C432="S",C432="I"),-1,1),"")</f>
        <v>0</v>
      </c>
      <c r="AW432" s="899">
        <f t="shared" si="27"/>
        <v>0</v>
      </c>
      <c r="AX432" s="899">
        <f>INDEX(V432:AG432,1,MATCH(Parametres!$B$3,V$1:AG$1,0))*IF(OR(C432="L",C432="S",C432="I"),-1,1)</f>
        <v>0</v>
      </c>
      <c r="AY432" s="487" t="s">
        <v>337</v>
      </c>
      <c r="AZ432" s="487" t="e">
        <f>+VLOOKUP($AJ432,Data_Validation!$A:$E,5,0)</f>
        <v>#N/A</v>
      </c>
    </row>
    <row r="433" spans="36:52" ht="15.75" customHeight="1">
      <c r="AJ433" s="899">
        <f t="shared" si="24"/>
        <v>0</v>
      </c>
      <c r="AK433" s="899">
        <f t="shared" si="24"/>
        <v>0</v>
      </c>
      <c r="AL433" s="905">
        <f>IFERROR(INDEX(G433:R433,1,MATCH(Parametres!$B$3,G$1:R$1,0)-1)*IF(OR(F433="L",F433="S",F433="I"),-1,1),"")</f>
        <v>0</v>
      </c>
      <c r="AM433" s="905">
        <f t="shared" si="25"/>
        <v>0</v>
      </c>
      <c r="AN433" s="905">
        <f>INDEX(G433:R433,1,MATCH(Parametres!$B$3,G$1:R$1,0))*IF(OR(F433="L",F433="S",F433="I"),-1,1)</f>
        <v>0</v>
      </c>
      <c r="AO433" s="487" t="e">
        <f>+VLOOKUP($AJ433,Data_Validation!$A:$D,1,0)</f>
        <v>#N/A</v>
      </c>
      <c r="AP433" s="487" t="e">
        <f>+VLOOKUP($AJ433,Data_Validation!$A:$D,3,0)</f>
        <v>#N/A</v>
      </c>
      <c r="AQ433" s="487" t="e">
        <f>+VLOOKUP($AJ433,Data_Validation!$A:$D,4,0)</f>
        <v>#N/A</v>
      </c>
      <c r="AR433" s="487" t="s">
        <v>299</v>
      </c>
      <c r="AS433" s="487" t="e">
        <f>+VLOOKUP($AJ433,Data_Validation!$A:$E,5,0)</f>
        <v>#N/A</v>
      </c>
      <c r="AT433" s="904">
        <f t="shared" si="26"/>
        <v>0</v>
      </c>
      <c r="AU433" s="488">
        <f t="shared" si="26"/>
        <v>0</v>
      </c>
      <c r="AV433" s="899">
        <f>IFERROR(INDEX(V433:AG433,1,MATCH(Parametres!$B$3,V$1:AG$1,0)-1)*IF(OR(C433="L",C433="S",C433="I"),-1,1),"")</f>
        <v>0</v>
      </c>
      <c r="AW433" s="899">
        <f t="shared" si="27"/>
        <v>0</v>
      </c>
      <c r="AX433" s="899">
        <f>INDEX(V433:AG433,1,MATCH(Parametres!$B$3,V$1:AG$1,0))*IF(OR(C433="L",C433="S",C433="I"),-1,1)</f>
        <v>0</v>
      </c>
      <c r="AY433" s="487" t="s">
        <v>337</v>
      </c>
      <c r="AZ433" s="487" t="e">
        <f>+VLOOKUP($AJ433,Data_Validation!$A:$E,5,0)</f>
        <v>#N/A</v>
      </c>
    </row>
    <row r="434" spans="36:52" ht="15.75" customHeight="1">
      <c r="AJ434" s="899">
        <f t="shared" si="24"/>
        <v>0</v>
      </c>
      <c r="AK434" s="899">
        <f t="shared" si="24"/>
        <v>0</v>
      </c>
      <c r="AL434" s="905">
        <f>IFERROR(INDEX(G434:R434,1,MATCH(Parametres!$B$3,G$1:R$1,0)-1)*IF(OR(F434="L",F434="S",F434="I"),-1,1),"")</f>
        <v>0</v>
      </c>
      <c r="AM434" s="905">
        <f t="shared" si="25"/>
        <v>0</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f t="shared" si="26"/>
        <v>0</v>
      </c>
      <c r="AU434" s="488">
        <f t="shared" si="26"/>
        <v>0</v>
      </c>
      <c r="AV434" s="899">
        <f>IFERROR(INDEX(V434:AG434,1,MATCH(Parametres!$B$3,V$1:AG$1,0)-1)*IF(OR(C434="L",C434="S",C434="I"),-1,1),"")</f>
        <v>0</v>
      </c>
      <c r="AW434" s="899">
        <f t="shared" si="27"/>
        <v>0</v>
      </c>
      <c r="AX434" s="899">
        <f>INDEX(V434:AG434,1,MATCH(Parametres!$B$3,V$1:AG$1,0))*IF(OR(C434="L",C434="S",C434="I"),-1,1)</f>
        <v>0</v>
      </c>
      <c r="AY434" s="487" t="s">
        <v>337</v>
      </c>
      <c r="AZ434" s="487" t="e">
        <f>+VLOOKUP($AJ434,Data_Validation!$A:$E,5,0)</f>
        <v>#N/A</v>
      </c>
    </row>
    <row r="435" spans="36:52" ht="15.75" customHeight="1">
      <c r="AJ435" s="899">
        <f t="shared" si="24"/>
        <v>0</v>
      </c>
      <c r="AK435" s="899">
        <f t="shared" si="24"/>
        <v>0</v>
      </c>
      <c r="AL435" s="905">
        <f>IFERROR(INDEX(G435:R435,1,MATCH(Parametres!$B$3,G$1:R$1,0)-1)*IF(OR(F435="L",F435="S",F435="I"),-1,1),"")</f>
        <v>0</v>
      </c>
      <c r="AM435" s="905">
        <f t="shared" si="25"/>
        <v>0</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f t="shared" si="26"/>
        <v>0</v>
      </c>
      <c r="AU435" s="488">
        <f t="shared" si="26"/>
        <v>0</v>
      </c>
      <c r="AV435" s="899">
        <f>IFERROR(INDEX(V435:AG435,1,MATCH(Parametres!$B$3,V$1:AG$1,0)-1)*IF(OR(C435="L",C435="S",C435="I"),-1,1),"")</f>
        <v>0</v>
      </c>
      <c r="AW435" s="899">
        <f t="shared" si="27"/>
        <v>0</v>
      </c>
      <c r="AX435" s="899">
        <f>INDEX(V435:AG435,1,MATCH(Parametres!$B$3,V$1:AG$1,0))*IF(OR(C435="L",C435="S",C435="I"),-1,1)</f>
        <v>0</v>
      </c>
      <c r="AY435" s="487" t="s">
        <v>337</v>
      </c>
      <c r="AZ435" s="487" t="e">
        <f>+VLOOKUP($AJ435,Data_Validation!$A:$E,5,0)</f>
        <v>#N/A</v>
      </c>
    </row>
    <row r="436" spans="36:52" ht="15.75" customHeight="1">
      <c r="AJ436" s="899">
        <f t="shared" si="24"/>
        <v>0</v>
      </c>
      <c r="AK436" s="899">
        <f t="shared" si="24"/>
        <v>0</v>
      </c>
      <c r="AL436" s="905">
        <f>IFERROR(INDEX(G436:R436,1,MATCH(Parametres!$B$3,G$1:R$1,0)-1)*IF(OR(F436="L",F436="S",F436="I"),-1,1),"")</f>
        <v>0</v>
      </c>
      <c r="AM436" s="905">
        <f t="shared" si="25"/>
        <v>0</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f t="shared" si="26"/>
        <v>0</v>
      </c>
      <c r="AU436" s="488">
        <f t="shared" si="26"/>
        <v>0</v>
      </c>
      <c r="AV436" s="899">
        <f>IFERROR(INDEX(V436:AG436,1,MATCH(Parametres!$B$3,V$1:AG$1,0)-1)*IF(OR(C436="L",C436="S",C436="I"),-1,1),"")</f>
        <v>0</v>
      </c>
      <c r="AW436" s="899">
        <f t="shared" si="27"/>
        <v>0</v>
      </c>
      <c r="AX436" s="899">
        <f>INDEX(V436:AG436,1,MATCH(Parametres!$B$3,V$1:AG$1,0))*IF(OR(C436="L",C436="S",C436="I"),-1,1)</f>
        <v>0</v>
      </c>
      <c r="AY436" s="487" t="s">
        <v>337</v>
      </c>
      <c r="AZ436" s="487" t="e">
        <f>+VLOOKUP($AJ436,Data_Validation!$A:$E,5,0)</f>
        <v>#N/A</v>
      </c>
    </row>
    <row r="437" spans="36:52" ht="15.75" customHeight="1">
      <c r="AJ437" s="899">
        <f t="shared" si="24"/>
        <v>0</v>
      </c>
      <c r="AK437" s="899">
        <f t="shared" si="24"/>
        <v>0</v>
      </c>
      <c r="AL437" s="905">
        <f>IFERROR(INDEX(G437:R437,1,MATCH(Parametres!$B$3,G$1:R$1,0)-1)*IF(OR(F437="L",F437="S",F437="I"),-1,1),"")</f>
        <v>0</v>
      </c>
      <c r="AM437" s="905">
        <f t="shared" si="25"/>
        <v>0</v>
      </c>
      <c r="AN437" s="905">
        <f>INDEX(G437:R437,1,MATCH(Parametres!$B$3,G$1:R$1,0))*IF(OR(F437="L",F437="S",F437="I"),-1,1)</f>
        <v>0</v>
      </c>
      <c r="AO437" s="487" t="e">
        <f>+VLOOKUP($AJ437,Data_Validation!$A:$D,1,0)</f>
        <v>#N/A</v>
      </c>
      <c r="AP437" s="487" t="e">
        <f>+VLOOKUP($AJ437,Data_Validation!$A:$D,3,0)</f>
        <v>#N/A</v>
      </c>
      <c r="AQ437" s="487" t="e">
        <f>+VLOOKUP($AJ437,Data_Validation!$A:$D,4,0)</f>
        <v>#N/A</v>
      </c>
      <c r="AR437" s="487" t="s">
        <v>299</v>
      </c>
      <c r="AS437" s="487" t="e">
        <f>+VLOOKUP($AJ437,Data_Validation!$A:$E,5,0)</f>
        <v>#N/A</v>
      </c>
      <c r="AT437" s="904">
        <f t="shared" si="26"/>
        <v>0</v>
      </c>
      <c r="AU437" s="488">
        <f t="shared" si="26"/>
        <v>0</v>
      </c>
      <c r="AV437" s="899">
        <f>IFERROR(INDEX(V437:AG437,1,MATCH(Parametres!$B$3,V$1:AG$1,0)-1)*IF(OR(C437="L",C437="S",C437="I"),-1,1),"")</f>
        <v>0</v>
      </c>
      <c r="AW437" s="899">
        <f t="shared" si="27"/>
        <v>0</v>
      </c>
      <c r="AX437" s="899">
        <f>INDEX(V437:AG437,1,MATCH(Parametres!$B$3,V$1:AG$1,0))*IF(OR(C437="L",C437="S",C437="I"),-1,1)</f>
        <v>0</v>
      </c>
      <c r="AY437" s="487" t="s">
        <v>337</v>
      </c>
      <c r="AZ437" s="487" t="e">
        <f>+VLOOKUP($AJ437,Data_Validation!$A:$E,5,0)</f>
        <v>#N/A</v>
      </c>
    </row>
    <row r="438" spans="36:52" ht="15.75" customHeight="1">
      <c r="AJ438" s="899">
        <f t="shared" si="24"/>
        <v>0</v>
      </c>
      <c r="AK438" s="899">
        <f t="shared" si="24"/>
        <v>0</v>
      </c>
      <c r="AL438" s="905">
        <f>IFERROR(INDEX(G438:R438,1,MATCH(Parametres!$B$3,G$1:R$1,0)-1)*IF(OR(F438="L",F438="S",F438="I"),-1,1),"")</f>
        <v>0</v>
      </c>
      <c r="AM438" s="905">
        <f t="shared" si="25"/>
        <v>0</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f t="shared" si="26"/>
        <v>0</v>
      </c>
      <c r="AU438" s="488">
        <f t="shared" si="26"/>
        <v>0</v>
      </c>
      <c r="AV438" s="899">
        <f>IFERROR(INDEX(V438:AG438,1,MATCH(Parametres!$B$3,V$1:AG$1,0)-1)*IF(OR(C438="L",C438="S",C438="I"),-1,1),"")</f>
        <v>0</v>
      </c>
      <c r="AW438" s="899">
        <f t="shared" si="27"/>
        <v>0</v>
      </c>
      <c r="AX438" s="899">
        <f>INDEX(V438:AG438,1,MATCH(Parametres!$B$3,V$1:AG$1,0))*IF(OR(C438="L",C438="S",C438="I"),-1,1)</f>
        <v>0</v>
      </c>
      <c r="AY438" s="487" t="s">
        <v>337</v>
      </c>
      <c r="AZ438" s="487" t="e">
        <f>+VLOOKUP($AJ438,Data_Validation!$A:$E,5,0)</f>
        <v>#N/A</v>
      </c>
    </row>
    <row r="439" spans="36:52" ht="15.75" customHeight="1">
      <c r="AJ439" s="899">
        <f t="shared" si="24"/>
        <v>0</v>
      </c>
      <c r="AK439" s="899">
        <f t="shared" si="24"/>
        <v>0</v>
      </c>
      <c r="AL439" s="905">
        <f>IFERROR(INDEX(G439:R439,1,MATCH(Parametres!$B$3,G$1:R$1,0)-1)*IF(OR(F439="L",F439="S",F439="I"),-1,1),"")</f>
        <v>0</v>
      </c>
      <c r="AM439" s="905">
        <f t="shared" si="25"/>
        <v>0</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f t="shared" si="26"/>
        <v>0</v>
      </c>
      <c r="AU439" s="488">
        <f t="shared" si="26"/>
        <v>0</v>
      </c>
      <c r="AV439" s="899">
        <f>IFERROR(INDEX(V439:AG439,1,MATCH(Parametres!$B$3,V$1:AG$1,0)-1)*IF(OR(C439="L",C439="S",C439="I"),-1,1),"")</f>
        <v>0</v>
      </c>
      <c r="AW439" s="899">
        <f t="shared" si="27"/>
        <v>0</v>
      </c>
      <c r="AX439" s="899">
        <f>INDEX(V439:AG439,1,MATCH(Parametres!$B$3,V$1:AG$1,0))*IF(OR(C439="L",C439="S",C439="I"),-1,1)</f>
        <v>0</v>
      </c>
      <c r="AY439" s="487" t="s">
        <v>337</v>
      </c>
      <c r="AZ439" s="487" t="e">
        <f>+VLOOKUP($AJ439,Data_Validation!$A:$E,5,0)</f>
        <v>#N/A</v>
      </c>
    </row>
    <row r="440" spans="36:52" ht="15.75" customHeight="1">
      <c r="AJ440" s="899">
        <f t="shared" si="24"/>
        <v>0</v>
      </c>
      <c r="AK440" s="899">
        <f t="shared" si="24"/>
        <v>0</v>
      </c>
      <c r="AL440" s="905">
        <f>IFERROR(INDEX(G440:R440,1,MATCH(Parametres!$B$3,G$1:R$1,0)-1)*IF(OR(F440="L",F440="S",F440="I"),-1,1),"")</f>
        <v>0</v>
      </c>
      <c r="AM440" s="905">
        <f t="shared" si="25"/>
        <v>0</v>
      </c>
      <c r="AN440" s="905">
        <f>INDEX(G440:R440,1,MATCH(Parametres!$B$3,G$1:R$1,0))*IF(OR(F440="L",F440="S",F440="I"),-1,1)</f>
        <v>0</v>
      </c>
      <c r="AO440" s="487" t="e">
        <f>+VLOOKUP($AJ440,Data_Validation!$A:$D,1,0)</f>
        <v>#N/A</v>
      </c>
      <c r="AP440" s="487" t="e">
        <f>+VLOOKUP($AJ440,Data_Validation!$A:$D,3,0)</f>
        <v>#N/A</v>
      </c>
      <c r="AQ440" s="487" t="e">
        <f>+VLOOKUP($AJ440,Data_Validation!$A:$D,4,0)</f>
        <v>#N/A</v>
      </c>
      <c r="AR440" s="487" t="s">
        <v>299</v>
      </c>
      <c r="AS440" s="487" t="e">
        <f>+VLOOKUP($AJ440,Data_Validation!$A:$E,5,0)</f>
        <v>#N/A</v>
      </c>
      <c r="AT440" s="904">
        <f t="shared" si="26"/>
        <v>0</v>
      </c>
      <c r="AU440" s="488">
        <f t="shared" si="26"/>
        <v>0</v>
      </c>
      <c r="AV440" s="899">
        <f>IFERROR(INDEX(V440:AG440,1,MATCH(Parametres!$B$3,V$1:AG$1,0)-1)*IF(OR(C440="L",C440="S",C440="I"),-1,1),"")</f>
        <v>0</v>
      </c>
      <c r="AW440" s="899">
        <f t="shared" si="27"/>
        <v>0</v>
      </c>
      <c r="AX440" s="899">
        <f>INDEX(V440:AG440,1,MATCH(Parametres!$B$3,V$1:AG$1,0))*IF(OR(C440="L",C440="S",C440="I"),-1,1)</f>
        <v>0</v>
      </c>
      <c r="AY440" s="487" t="s">
        <v>337</v>
      </c>
      <c r="AZ440" s="487" t="e">
        <f>+VLOOKUP($AJ440,Data_Validation!$A:$E,5,0)</f>
        <v>#N/A</v>
      </c>
    </row>
    <row r="441" spans="36:52" ht="15.75" customHeight="1">
      <c r="AJ441" s="899">
        <f t="shared" si="24"/>
        <v>0</v>
      </c>
      <c r="AK441" s="899">
        <f t="shared" si="24"/>
        <v>0</v>
      </c>
      <c r="AL441" s="905">
        <f>IFERROR(INDEX(G441:R441,1,MATCH(Parametres!$B$3,G$1:R$1,0)-1)*IF(OR(F441="L",F441="S",F441="I"),-1,1),"")</f>
        <v>0</v>
      </c>
      <c r="AM441" s="905">
        <f t="shared" si="25"/>
        <v>0</v>
      </c>
      <c r="AN441" s="905">
        <f>INDEX(G441:R441,1,MATCH(Parametres!$B$3,G$1:R$1,0))*IF(OR(F441="L",F441="S",F441="I"),-1,1)</f>
        <v>0</v>
      </c>
      <c r="AO441" s="487" t="e">
        <f>+VLOOKUP($AJ441,Data_Validation!$A:$D,1,0)</f>
        <v>#N/A</v>
      </c>
      <c r="AP441" s="487" t="e">
        <f>+VLOOKUP($AJ441,Data_Validation!$A:$D,3,0)</f>
        <v>#N/A</v>
      </c>
      <c r="AQ441" s="487" t="e">
        <f>+VLOOKUP($AJ441,Data_Validation!$A:$D,4,0)</f>
        <v>#N/A</v>
      </c>
      <c r="AR441" s="487" t="s">
        <v>299</v>
      </c>
      <c r="AS441" s="487" t="e">
        <f>+VLOOKUP($AJ441,Data_Validation!$A:$E,5,0)</f>
        <v>#N/A</v>
      </c>
      <c r="AT441" s="904">
        <f t="shared" si="26"/>
        <v>0</v>
      </c>
      <c r="AU441" s="488">
        <f t="shared" si="26"/>
        <v>0</v>
      </c>
      <c r="AV441" s="899">
        <f>IFERROR(INDEX(V441:AG441,1,MATCH(Parametres!$B$3,V$1:AG$1,0)-1)*IF(OR(C441="L",C441="S",C441="I"),-1,1),"")</f>
        <v>0</v>
      </c>
      <c r="AW441" s="899">
        <f t="shared" si="27"/>
        <v>0</v>
      </c>
      <c r="AX441" s="899">
        <f>INDEX(V441:AG441,1,MATCH(Parametres!$B$3,V$1:AG$1,0))*IF(OR(C441="L",C441="S",C441="I"),-1,1)</f>
        <v>0</v>
      </c>
      <c r="AY441" s="487" t="s">
        <v>337</v>
      </c>
      <c r="AZ441" s="487" t="e">
        <f>+VLOOKUP($AJ441,Data_Validation!$A:$E,5,0)</f>
        <v>#N/A</v>
      </c>
    </row>
    <row r="442" spans="36:52" ht="15.75" customHeight="1">
      <c r="AJ442" s="899">
        <f t="shared" si="24"/>
        <v>0</v>
      </c>
      <c r="AK442" s="899">
        <f t="shared" si="24"/>
        <v>0</v>
      </c>
      <c r="AL442" s="905">
        <f>IFERROR(INDEX(G442:R442,1,MATCH(Parametres!$B$3,G$1:R$1,0)-1)*IF(OR(F442="L",F442="S",F442="I"),-1,1),"")</f>
        <v>0</v>
      </c>
      <c r="AM442" s="905">
        <f t="shared" si="25"/>
        <v>0</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f t="shared" si="26"/>
        <v>0</v>
      </c>
      <c r="AU442" s="488">
        <f t="shared" si="26"/>
        <v>0</v>
      </c>
      <c r="AV442" s="899">
        <f>IFERROR(INDEX(V442:AG442,1,MATCH(Parametres!$B$3,V$1:AG$1,0)-1)*IF(OR(C442="L",C442="S",C442="I"),-1,1),"")</f>
        <v>0</v>
      </c>
      <c r="AW442" s="899">
        <f t="shared" si="27"/>
        <v>0</v>
      </c>
      <c r="AX442" s="899">
        <f>INDEX(V442:AG442,1,MATCH(Parametres!$B$3,V$1:AG$1,0))*IF(OR(C442="L",C442="S",C442="I"),-1,1)</f>
        <v>0</v>
      </c>
      <c r="AY442" s="487" t="s">
        <v>337</v>
      </c>
      <c r="AZ442" s="487" t="e">
        <f>+VLOOKUP($AJ442,Data_Validation!$A:$E,5,0)</f>
        <v>#N/A</v>
      </c>
    </row>
    <row r="443" spans="36:52" ht="15.75" customHeight="1">
      <c r="AJ443" s="899">
        <f t="shared" si="24"/>
        <v>0</v>
      </c>
      <c r="AK443" s="899">
        <f t="shared" si="24"/>
        <v>0</v>
      </c>
      <c r="AL443" s="905">
        <f>IFERROR(INDEX(G443:R443,1,MATCH(Parametres!$B$3,G$1:R$1,0)-1)*IF(OR(F443="L",F443="S",F443="I"),-1,1),"")</f>
        <v>0</v>
      </c>
      <c r="AM443" s="905">
        <f t="shared" si="25"/>
        <v>0</v>
      </c>
      <c r="AN443" s="905">
        <f>INDEX(G443:R443,1,MATCH(Parametres!$B$3,G$1:R$1,0))*IF(OR(F443="L",F443="S",F443="I"),-1,1)</f>
        <v>0</v>
      </c>
      <c r="AO443" s="487" t="e">
        <f>+VLOOKUP($AJ443,Data_Validation!$A:$D,1,0)</f>
        <v>#N/A</v>
      </c>
      <c r="AP443" s="487" t="e">
        <f>+VLOOKUP($AJ443,Data_Validation!$A:$D,3,0)</f>
        <v>#N/A</v>
      </c>
      <c r="AQ443" s="487" t="e">
        <f>+VLOOKUP($AJ443,Data_Validation!$A:$D,4,0)</f>
        <v>#N/A</v>
      </c>
      <c r="AR443" s="487" t="s">
        <v>299</v>
      </c>
      <c r="AS443" s="487" t="e">
        <f>+VLOOKUP($AJ443,Data_Validation!$A:$E,5,0)</f>
        <v>#N/A</v>
      </c>
      <c r="AT443" s="904">
        <f t="shared" si="26"/>
        <v>0</v>
      </c>
      <c r="AU443" s="488">
        <f t="shared" si="26"/>
        <v>0</v>
      </c>
      <c r="AV443" s="899">
        <f>IFERROR(INDEX(V443:AG443,1,MATCH(Parametres!$B$3,V$1:AG$1,0)-1)*IF(OR(C443="L",C443="S",C443="I"),-1,1),"")</f>
        <v>0</v>
      </c>
      <c r="AW443" s="899">
        <f t="shared" si="27"/>
        <v>0</v>
      </c>
      <c r="AX443" s="899">
        <f>INDEX(V443:AG443,1,MATCH(Parametres!$B$3,V$1:AG$1,0))*IF(OR(C443="L",C443="S",C443="I"),-1,1)</f>
        <v>0</v>
      </c>
      <c r="AY443" s="487" t="s">
        <v>337</v>
      </c>
      <c r="AZ443" s="487" t="e">
        <f>+VLOOKUP($AJ443,Data_Validation!$A:$E,5,0)</f>
        <v>#N/A</v>
      </c>
    </row>
    <row r="444" spans="36:52" ht="15.75" customHeight="1">
      <c r="AJ444" s="899">
        <f t="shared" si="24"/>
        <v>0</v>
      </c>
      <c r="AK444" s="899">
        <f t="shared" si="24"/>
        <v>0</v>
      </c>
      <c r="AL444" s="905">
        <f>IFERROR(INDEX(G444:R444,1,MATCH(Parametres!$B$3,G$1:R$1,0)-1)*IF(OR(F444="L",F444="S",F444="I"),-1,1),"")</f>
        <v>0</v>
      </c>
      <c r="AM444" s="905">
        <f t="shared" si="25"/>
        <v>0</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f t="shared" si="26"/>
        <v>0</v>
      </c>
      <c r="AU444" s="488">
        <f t="shared" si="26"/>
        <v>0</v>
      </c>
      <c r="AV444" s="899">
        <f>IFERROR(INDEX(V444:AG444,1,MATCH(Parametres!$B$3,V$1:AG$1,0)-1)*IF(OR(C444="L",C444="S",C444="I"),-1,1),"")</f>
        <v>0</v>
      </c>
      <c r="AW444" s="899">
        <f t="shared" si="27"/>
        <v>0</v>
      </c>
      <c r="AX444" s="899">
        <f>INDEX(V444:AG444,1,MATCH(Parametres!$B$3,V$1:AG$1,0))*IF(OR(C444="L",C444="S",C444="I"),-1,1)</f>
        <v>0</v>
      </c>
      <c r="AY444" s="487" t="s">
        <v>337</v>
      </c>
      <c r="AZ444" s="487" t="e">
        <f>+VLOOKUP($AJ444,Data_Validation!$A:$E,5,0)</f>
        <v>#N/A</v>
      </c>
    </row>
    <row r="445" spans="36:52" ht="15.75" customHeight="1">
      <c r="AJ445" s="899">
        <f t="shared" si="24"/>
        <v>0</v>
      </c>
      <c r="AK445" s="899">
        <f t="shared" si="24"/>
        <v>0</v>
      </c>
      <c r="AL445" s="905">
        <f>IFERROR(INDEX(G445:R445,1,MATCH(Parametres!$B$3,G$1:R$1,0)-1)*IF(OR(F445="L",F445="S",F445="I"),-1,1),"")</f>
        <v>0</v>
      </c>
      <c r="AM445" s="905">
        <f t="shared" si="25"/>
        <v>0</v>
      </c>
      <c r="AN445" s="905">
        <f>INDEX(G445:R445,1,MATCH(Parametres!$B$3,G$1:R$1,0))*IF(OR(F445="L",F445="S",F445="I"),-1,1)</f>
        <v>0</v>
      </c>
      <c r="AO445" s="487" t="e">
        <f>+VLOOKUP($AJ445,Data_Validation!$A:$D,1,0)</f>
        <v>#N/A</v>
      </c>
      <c r="AP445" s="487" t="e">
        <f>+VLOOKUP($AJ445,Data_Validation!$A:$D,3,0)</f>
        <v>#N/A</v>
      </c>
      <c r="AQ445" s="487" t="e">
        <f>+VLOOKUP($AJ445,Data_Validation!$A:$D,4,0)</f>
        <v>#N/A</v>
      </c>
      <c r="AR445" s="487" t="s">
        <v>299</v>
      </c>
      <c r="AS445" s="487" t="e">
        <f>+VLOOKUP($AJ445,Data_Validation!$A:$E,5,0)</f>
        <v>#N/A</v>
      </c>
      <c r="AT445" s="904">
        <f t="shared" si="26"/>
        <v>0</v>
      </c>
      <c r="AU445" s="488">
        <f t="shared" si="26"/>
        <v>0</v>
      </c>
      <c r="AV445" s="899">
        <f>IFERROR(INDEX(V445:AG445,1,MATCH(Parametres!$B$3,V$1:AG$1,0)-1)*IF(OR(C445="L",C445="S",C445="I"),-1,1),"")</f>
        <v>0</v>
      </c>
      <c r="AW445" s="899">
        <f t="shared" si="27"/>
        <v>0</v>
      </c>
      <c r="AX445" s="899">
        <f>INDEX(V445:AG445,1,MATCH(Parametres!$B$3,V$1:AG$1,0))*IF(OR(C445="L",C445="S",C445="I"),-1,1)</f>
        <v>0</v>
      </c>
      <c r="AY445" s="487" t="s">
        <v>337</v>
      </c>
      <c r="AZ445" s="487" t="e">
        <f>+VLOOKUP($AJ445,Data_Validation!$A:$E,5,0)</f>
        <v>#N/A</v>
      </c>
    </row>
    <row r="446" spans="36:52" ht="15.75" customHeight="1">
      <c r="AJ446" s="899">
        <f t="shared" si="24"/>
        <v>0</v>
      </c>
      <c r="AK446" s="899">
        <f t="shared" si="24"/>
        <v>0</v>
      </c>
      <c r="AL446" s="905">
        <f>IFERROR(INDEX(G446:R446,1,MATCH(Parametres!$B$3,G$1:R$1,0)-1)*IF(OR(F446="L",F446="S",F446="I"),-1,1),"")</f>
        <v>0</v>
      </c>
      <c r="AM446" s="905">
        <f t="shared" si="25"/>
        <v>0</v>
      </c>
      <c r="AN446" s="905">
        <f>INDEX(G446:R446,1,MATCH(Parametres!$B$3,G$1:R$1,0))*IF(OR(F446="L",F446="S",F446="I"),-1,1)</f>
        <v>0</v>
      </c>
      <c r="AO446" s="487" t="e">
        <f>+VLOOKUP($AJ446,Data_Validation!$A:$D,1,0)</f>
        <v>#N/A</v>
      </c>
      <c r="AP446" s="487" t="e">
        <f>+VLOOKUP($AJ446,Data_Validation!$A:$D,3,0)</f>
        <v>#N/A</v>
      </c>
      <c r="AQ446" s="487" t="e">
        <f>+VLOOKUP($AJ446,Data_Validation!$A:$D,4,0)</f>
        <v>#N/A</v>
      </c>
      <c r="AR446" s="487" t="s">
        <v>299</v>
      </c>
      <c r="AS446" s="487" t="e">
        <f>+VLOOKUP($AJ446,Data_Validation!$A:$E,5,0)</f>
        <v>#N/A</v>
      </c>
      <c r="AT446" s="904">
        <f t="shared" si="26"/>
        <v>0</v>
      </c>
      <c r="AU446" s="488">
        <f t="shared" si="26"/>
        <v>0</v>
      </c>
      <c r="AV446" s="899">
        <f>IFERROR(INDEX(V446:AG446,1,MATCH(Parametres!$B$3,V$1:AG$1,0)-1)*IF(OR(C446="L",C446="S",C446="I"),-1,1),"")</f>
        <v>0</v>
      </c>
      <c r="AW446" s="899">
        <f t="shared" si="27"/>
        <v>0</v>
      </c>
      <c r="AX446" s="899">
        <f>INDEX(V446:AG446,1,MATCH(Parametres!$B$3,V$1:AG$1,0))*IF(OR(C446="L",C446="S",C446="I"),-1,1)</f>
        <v>0</v>
      </c>
      <c r="AY446" s="487" t="s">
        <v>337</v>
      </c>
      <c r="AZ446" s="487" t="e">
        <f>+VLOOKUP($AJ446,Data_Validation!$A:$E,5,0)</f>
        <v>#N/A</v>
      </c>
    </row>
    <row r="447" spans="36:52" ht="15.75" customHeight="1">
      <c r="AJ447" s="899">
        <f t="shared" si="24"/>
        <v>0</v>
      </c>
      <c r="AK447" s="899">
        <f t="shared" si="24"/>
        <v>0</v>
      </c>
      <c r="AL447" s="905">
        <f>IFERROR(INDEX(G447:R447,1,MATCH(Parametres!$B$3,G$1:R$1,0)-1)*IF(OR(F447="L",F447="S",F447="I"),-1,1),"")</f>
        <v>0</v>
      </c>
      <c r="AM447" s="905">
        <f t="shared" si="25"/>
        <v>0</v>
      </c>
      <c r="AN447" s="905">
        <f>INDEX(G447:R447,1,MATCH(Parametres!$B$3,G$1:R$1,0))*IF(OR(F447="L",F447="S",F447="I"),-1,1)</f>
        <v>0</v>
      </c>
      <c r="AO447" s="487" t="e">
        <f>+VLOOKUP($AJ447,Data_Validation!$A:$D,1,0)</f>
        <v>#N/A</v>
      </c>
      <c r="AP447" s="487" t="e">
        <f>+VLOOKUP($AJ447,Data_Validation!$A:$D,3,0)</f>
        <v>#N/A</v>
      </c>
      <c r="AQ447" s="487" t="e">
        <f>+VLOOKUP($AJ447,Data_Validation!$A:$D,4,0)</f>
        <v>#N/A</v>
      </c>
      <c r="AR447" s="487" t="s">
        <v>299</v>
      </c>
      <c r="AS447" s="487" t="e">
        <f>+VLOOKUP($AJ447,Data_Validation!$A:$E,5,0)</f>
        <v>#N/A</v>
      </c>
      <c r="AT447" s="904">
        <f t="shared" si="26"/>
        <v>0</v>
      </c>
      <c r="AU447" s="488">
        <f t="shared" si="26"/>
        <v>0</v>
      </c>
      <c r="AV447" s="899">
        <f>IFERROR(INDEX(V447:AG447,1,MATCH(Parametres!$B$3,V$1:AG$1,0)-1)*IF(OR(C447="L",C447="S",C447="I"),-1,1),"")</f>
        <v>0</v>
      </c>
      <c r="AW447" s="899">
        <f t="shared" si="27"/>
        <v>0</v>
      </c>
      <c r="AX447" s="899">
        <f>INDEX(V447:AG447,1,MATCH(Parametres!$B$3,V$1:AG$1,0))*IF(OR(C447="L",C447="S",C447="I"),-1,1)</f>
        <v>0</v>
      </c>
      <c r="AY447" s="487" t="s">
        <v>337</v>
      </c>
      <c r="AZ447" s="487" t="e">
        <f>+VLOOKUP($AJ447,Data_Validation!$A:$E,5,0)</f>
        <v>#N/A</v>
      </c>
    </row>
    <row r="448" spans="36:52" ht="15.75" customHeight="1">
      <c r="AJ448" s="899">
        <f t="shared" si="24"/>
        <v>0</v>
      </c>
      <c r="AK448" s="899">
        <f t="shared" si="24"/>
        <v>0</v>
      </c>
      <c r="AL448" s="905">
        <f>IFERROR(INDEX(G448:R448,1,MATCH(Parametres!$B$3,G$1:R$1,0)-1)*IF(OR(F448="L",F448="S",F448="I"),-1,1),"")</f>
        <v>0</v>
      </c>
      <c r="AM448" s="905">
        <f t="shared" si="25"/>
        <v>0</v>
      </c>
      <c r="AN448" s="905">
        <f>INDEX(G448:R448,1,MATCH(Parametres!$B$3,G$1:R$1,0))*IF(OR(F448="L",F448="S",F448="I"),-1,1)</f>
        <v>0</v>
      </c>
      <c r="AO448" s="487" t="e">
        <f>+VLOOKUP($AJ448,Data_Validation!$A:$D,1,0)</f>
        <v>#N/A</v>
      </c>
      <c r="AP448" s="487" t="e">
        <f>+VLOOKUP($AJ448,Data_Validation!$A:$D,3,0)</f>
        <v>#N/A</v>
      </c>
      <c r="AQ448" s="487" t="e">
        <f>+VLOOKUP($AJ448,Data_Validation!$A:$D,4,0)</f>
        <v>#N/A</v>
      </c>
      <c r="AR448" s="487" t="s">
        <v>299</v>
      </c>
      <c r="AS448" s="487" t="e">
        <f>+VLOOKUP($AJ448,Data_Validation!$A:$E,5,0)</f>
        <v>#N/A</v>
      </c>
      <c r="AT448" s="904">
        <f t="shared" si="26"/>
        <v>0</v>
      </c>
      <c r="AU448" s="488">
        <f t="shared" si="26"/>
        <v>0</v>
      </c>
      <c r="AV448" s="899">
        <f>IFERROR(INDEX(V448:AG448,1,MATCH(Parametres!$B$3,V$1:AG$1,0)-1)*IF(OR(C448="L",C448="S",C448="I"),-1,1),"")</f>
        <v>0</v>
      </c>
      <c r="AW448" s="899">
        <f t="shared" si="27"/>
        <v>0</v>
      </c>
      <c r="AX448" s="899">
        <f>INDEX(V448:AG448,1,MATCH(Parametres!$B$3,V$1:AG$1,0))*IF(OR(C448="L",C448="S",C448="I"),-1,1)</f>
        <v>0</v>
      </c>
      <c r="AY448" s="487" t="s">
        <v>337</v>
      </c>
      <c r="AZ448" s="487" t="e">
        <f>+VLOOKUP($AJ448,Data_Validation!$A:$E,5,0)</f>
        <v>#N/A</v>
      </c>
    </row>
    <row r="449" spans="36:52" ht="15.75" customHeight="1">
      <c r="AJ449" s="899">
        <f t="shared" si="24"/>
        <v>0</v>
      </c>
      <c r="AK449" s="899">
        <f t="shared" si="24"/>
        <v>0</v>
      </c>
      <c r="AL449" s="905">
        <f>IFERROR(INDEX(G449:R449,1,MATCH(Parametres!$B$3,G$1:R$1,0)-1)*IF(OR(F449="L",F449="S",F449="I"),-1,1),"")</f>
        <v>0</v>
      </c>
      <c r="AM449" s="905">
        <f t="shared" si="25"/>
        <v>0</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f t="shared" si="26"/>
        <v>0</v>
      </c>
      <c r="AU449" s="488">
        <f t="shared" si="26"/>
        <v>0</v>
      </c>
      <c r="AV449" s="899">
        <f>IFERROR(INDEX(V449:AG449,1,MATCH(Parametres!$B$3,V$1:AG$1,0)-1)*IF(OR(C449="L",C449="S",C449="I"),-1,1),"")</f>
        <v>0</v>
      </c>
      <c r="AW449" s="899">
        <f t="shared" si="27"/>
        <v>0</v>
      </c>
      <c r="AX449" s="899">
        <f>INDEX(V449:AG449,1,MATCH(Parametres!$B$3,V$1:AG$1,0))*IF(OR(C449="L",C449="S",C449="I"),-1,1)</f>
        <v>0</v>
      </c>
      <c r="AY449" s="487" t="s">
        <v>337</v>
      </c>
      <c r="AZ449" s="487" t="e">
        <f>+VLOOKUP($AJ449,Data_Validation!$A:$E,5,0)</f>
        <v>#N/A</v>
      </c>
    </row>
    <row r="450" spans="36:52" ht="15.75" customHeight="1">
      <c r="AJ450" s="899">
        <f t="shared" si="24"/>
        <v>0</v>
      </c>
      <c r="AK450" s="899">
        <f t="shared" si="24"/>
        <v>0</v>
      </c>
      <c r="AL450" s="905">
        <f>IFERROR(INDEX(G450:R450,1,MATCH(Parametres!$B$3,G$1:R$1,0)-1)*IF(OR(F450="L",F450="S",F450="I"),-1,1),"")</f>
        <v>0</v>
      </c>
      <c r="AM450" s="905">
        <f t="shared" si="25"/>
        <v>0</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f t="shared" si="26"/>
        <v>0</v>
      </c>
      <c r="AU450" s="488">
        <f t="shared" si="26"/>
        <v>0</v>
      </c>
      <c r="AV450" s="899">
        <f>IFERROR(INDEX(V450:AG450,1,MATCH(Parametres!$B$3,V$1:AG$1,0)-1)*IF(OR(C450="L",C450="S",C450="I"),-1,1),"")</f>
        <v>0</v>
      </c>
      <c r="AW450" s="899">
        <f t="shared" si="27"/>
        <v>0</v>
      </c>
      <c r="AX450" s="899">
        <f>INDEX(V450:AG450,1,MATCH(Parametres!$B$3,V$1:AG$1,0))*IF(OR(C450="L",C450="S",C450="I"),-1,1)</f>
        <v>0</v>
      </c>
      <c r="AY450" s="487" t="s">
        <v>337</v>
      </c>
      <c r="AZ450" s="487" t="e">
        <f>+VLOOKUP($AJ450,Data_Validation!$A:$E,5,0)</f>
        <v>#N/A</v>
      </c>
    </row>
    <row r="451" spans="36:52" ht="15.75" customHeight="1">
      <c r="AJ451" s="899">
        <f t="shared" si="24"/>
        <v>0</v>
      </c>
      <c r="AK451" s="899">
        <f t="shared" si="24"/>
        <v>0</v>
      </c>
      <c r="AL451" s="905">
        <f>IFERROR(INDEX(G451:R451,1,MATCH(Parametres!$B$3,G$1:R$1,0)-1)*IF(OR(F451="L",F451="S",F451="I"),-1,1),"")</f>
        <v>0</v>
      </c>
      <c r="AM451" s="905">
        <f t="shared" si="25"/>
        <v>0</v>
      </c>
      <c r="AN451" s="905">
        <f>INDEX(G451:R451,1,MATCH(Parametres!$B$3,G$1:R$1,0))*IF(OR(F451="L",F451="S",F451="I"),-1,1)</f>
        <v>0</v>
      </c>
      <c r="AO451" s="487" t="e">
        <f>+VLOOKUP($AJ451,Data_Validation!$A:$D,1,0)</f>
        <v>#N/A</v>
      </c>
      <c r="AP451" s="487" t="e">
        <f>+VLOOKUP($AJ451,Data_Validation!$A:$D,3,0)</f>
        <v>#N/A</v>
      </c>
      <c r="AQ451" s="487" t="e">
        <f>+VLOOKUP($AJ451,Data_Validation!$A:$D,4,0)</f>
        <v>#N/A</v>
      </c>
      <c r="AR451" s="487" t="s">
        <v>299</v>
      </c>
      <c r="AS451" s="487" t="e">
        <f>+VLOOKUP($AJ451,Data_Validation!$A:$E,5,0)</f>
        <v>#N/A</v>
      </c>
      <c r="AT451" s="904">
        <f t="shared" si="26"/>
        <v>0</v>
      </c>
      <c r="AU451" s="488">
        <f t="shared" si="26"/>
        <v>0</v>
      </c>
      <c r="AV451" s="899">
        <f>IFERROR(INDEX(V451:AG451,1,MATCH(Parametres!$B$3,V$1:AG$1,0)-1)*IF(OR(C451="L",C451="S",C451="I"),-1,1),"")</f>
        <v>0</v>
      </c>
      <c r="AW451" s="899">
        <f t="shared" si="27"/>
        <v>0</v>
      </c>
      <c r="AX451" s="899">
        <f>INDEX(V451:AG451,1,MATCH(Parametres!$B$3,V$1:AG$1,0))*IF(OR(C451="L",C451="S",C451="I"),-1,1)</f>
        <v>0</v>
      </c>
      <c r="AY451" s="487" t="s">
        <v>337</v>
      </c>
      <c r="AZ451" s="487" t="e">
        <f>+VLOOKUP($AJ451,Data_Validation!$A:$E,5,0)</f>
        <v>#N/A</v>
      </c>
    </row>
    <row r="452" spans="36:52" ht="15.75" customHeight="1">
      <c r="AJ452" s="899">
        <f t="shared" ref="AJ452:AK467" si="28">C452</f>
        <v>0</v>
      </c>
      <c r="AK452" s="899">
        <f t="shared" si="28"/>
        <v>0</v>
      </c>
      <c r="AL452" s="905">
        <f>IFERROR(INDEX(G452:R452,1,MATCH(Parametres!$B$3,G$1:R$1,0)-1)*IF(OR(F452="L",F452="S",F452="I"),-1,1),"")</f>
        <v>0</v>
      </c>
      <c r="AM452" s="905">
        <f t="shared" ref="AM452:AM515" si="29">AN452-AL452</f>
        <v>0</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f t="shared" ref="AT452:AU515" si="30">C452</f>
        <v>0</v>
      </c>
      <c r="AU452" s="488">
        <f t="shared" si="30"/>
        <v>0</v>
      </c>
      <c r="AV452" s="899">
        <f>IFERROR(INDEX(V452:AG452,1,MATCH(Parametres!$B$3,V$1:AG$1,0)-1)*IF(OR(C452="L",C452="S",C452="I"),-1,1),"")</f>
        <v>0</v>
      </c>
      <c r="AW452" s="899">
        <f t="shared" ref="AW452:AW515" si="31">AX452-AV452</f>
        <v>0</v>
      </c>
      <c r="AX452" s="899">
        <f>INDEX(V452:AG452,1,MATCH(Parametres!$B$3,V$1:AG$1,0))*IF(OR(C452="L",C452="S",C452="I"),-1,1)</f>
        <v>0</v>
      </c>
      <c r="AY452" s="487" t="s">
        <v>337</v>
      </c>
      <c r="AZ452" s="487" t="e">
        <f>+VLOOKUP($AJ452,Data_Validation!$A:$E,5,0)</f>
        <v>#N/A</v>
      </c>
    </row>
    <row r="453" spans="36:52" ht="15" customHeight="1">
      <c r="AJ453" s="899">
        <f t="shared" si="28"/>
        <v>0</v>
      </c>
      <c r="AK453" s="899">
        <f t="shared" si="28"/>
        <v>0</v>
      </c>
      <c r="AL453" s="905">
        <f>IFERROR(INDEX(G453:R453,1,MATCH(Parametres!$B$3,G$1:R$1,0)-1)*IF(OR(F453="L",F453="S",F453="I"),-1,1),"")</f>
        <v>0</v>
      </c>
      <c r="AM453" s="905">
        <f t="shared" si="29"/>
        <v>0</v>
      </c>
      <c r="AN453" s="905">
        <f>INDEX(G453:R453,1,MATCH(Parametres!$B$3,G$1:R$1,0))*IF(OR(F453="L",F453="S",F453="I"),-1,1)</f>
        <v>0</v>
      </c>
      <c r="AO453" s="487" t="e">
        <f>+VLOOKUP($AJ453,Data_Validation!$A:$D,1,0)</f>
        <v>#N/A</v>
      </c>
      <c r="AP453" s="487" t="e">
        <f>+VLOOKUP($AJ453,Data_Validation!$A:$D,3,0)</f>
        <v>#N/A</v>
      </c>
      <c r="AQ453" s="487" t="e">
        <f>+VLOOKUP($AJ453,Data_Validation!$A:$D,4,0)</f>
        <v>#N/A</v>
      </c>
      <c r="AR453" s="487" t="s">
        <v>299</v>
      </c>
      <c r="AS453" s="487" t="e">
        <f>+VLOOKUP($AJ453,Data_Validation!$A:$E,5,0)</f>
        <v>#N/A</v>
      </c>
      <c r="AT453" s="904">
        <f t="shared" si="30"/>
        <v>0</v>
      </c>
      <c r="AU453" s="488">
        <f t="shared" si="30"/>
        <v>0</v>
      </c>
      <c r="AV453" s="899">
        <f>IFERROR(INDEX(V453:AG453,1,MATCH(Parametres!$B$3,V$1:AG$1,0)-1)*IF(OR(C453="L",C453="S",C453="I"),-1,1),"")</f>
        <v>0</v>
      </c>
      <c r="AW453" s="899">
        <f t="shared" si="31"/>
        <v>0</v>
      </c>
      <c r="AX453" s="899">
        <f>INDEX(V453:AG453,1,MATCH(Parametres!$B$3,V$1:AG$1,0))*IF(OR(C453="L",C453="S",C453="I"),-1,1)</f>
        <v>0</v>
      </c>
      <c r="AY453" s="487" t="s">
        <v>337</v>
      </c>
      <c r="AZ453" s="487" t="e">
        <f>+VLOOKUP($AJ453,Data_Validation!$A:$E,5,0)</f>
        <v>#N/A</v>
      </c>
    </row>
    <row r="454" spans="36:52" ht="15" customHeight="1">
      <c r="AJ454" s="899">
        <f t="shared" si="28"/>
        <v>0</v>
      </c>
      <c r="AK454" s="899">
        <f t="shared" si="28"/>
        <v>0</v>
      </c>
      <c r="AL454" s="905">
        <f>IFERROR(INDEX(G454:R454,1,MATCH(Parametres!$B$3,G$1:R$1,0)-1)*IF(OR(F454="L",F454="S",F454="I"),-1,1),"")</f>
        <v>0</v>
      </c>
      <c r="AM454" s="905">
        <f t="shared" si="29"/>
        <v>0</v>
      </c>
      <c r="AN454" s="905">
        <f>INDEX(G454:R454,1,MATCH(Parametres!$B$3,G$1:R$1,0))*IF(OR(F454="L",F454="S",F454="I"),-1,1)</f>
        <v>0</v>
      </c>
      <c r="AO454" s="487" t="e">
        <f>+VLOOKUP($AJ454,Data_Validation!$A:$D,1,0)</f>
        <v>#N/A</v>
      </c>
      <c r="AP454" s="487" t="e">
        <f>+VLOOKUP($AJ454,Data_Validation!$A:$D,3,0)</f>
        <v>#N/A</v>
      </c>
      <c r="AQ454" s="487" t="e">
        <f>+VLOOKUP($AJ454,Data_Validation!$A:$D,4,0)</f>
        <v>#N/A</v>
      </c>
      <c r="AR454" s="487" t="s">
        <v>299</v>
      </c>
      <c r="AS454" s="487" t="e">
        <f>+VLOOKUP($AJ454,Data_Validation!$A:$E,5,0)</f>
        <v>#N/A</v>
      </c>
      <c r="AT454" s="904">
        <f t="shared" si="30"/>
        <v>0</v>
      </c>
      <c r="AU454" s="488">
        <f t="shared" si="30"/>
        <v>0</v>
      </c>
      <c r="AV454" s="899">
        <f>IFERROR(INDEX(V454:AG454,1,MATCH(Parametres!$B$3,V$1:AG$1,0)-1)*IF(OR(C454="L",C454="S",C454="I"),-1,1),"")</f>
        <v>0</v>
      </c>
      <c r="AW454" s="899">
        <f t="shared" si="31"/>
        <v>0</v>
      </c>
      <c r="AX454" s="899">
        <f>INDEX(V454:AG454,1,MATCH(Parametres!$B$3,V$1:AG$1,0))*IF(OR(C454="L",C454="S",C454="I"),-1,1)</f>
        <v>0</v>
      </c>
      <c r="AY454" s="487" t="s">
        <v>337</v>
      </c>
      <c r="AZ454" s="487" t="e">
        <f>+VLOOKUP($AJ454,Data_Validation!$A:$E,5,0)</f>
        <v>#N/A</v>
      </c>
    </row>
    <row r="455" spans="36:52" ht="15" customHeight="1">
      <c r="AJ455" s="899">
        <f t="shared" si="28"/>
        <v>0</v>
      </c>
      <c r="AK455" s="899">
        <f t="shared" si="28"/>
        <v>0</v>
      </c>
      <c r="AL455" s="905">
        <f>IFERROR(INDEX(G455:R455,1,MATCH(Parametres!$B$3,G$1:R$1,0)-1)*IF(OR(F455="L",F455="S",F455="I"),-1,1),"")</f>
        <v>0</v>
      </c>
      <c r="AM455" s="905">
        <f t="shared" si="29"/>
        <v>0</v>
      </c>
      <c r="AN455" s="905">
        <f>INDEX(G455:R455,1,MATCH(Parametres!$B$3,G$1:R$1,0))*IF(OR(F455="L",F455="S",F455="I"),-1,1)</f>
        <v>0</v>
      </c>
      <c r="AO455" s="487" t="e">
        <f>+VLOOKUP($AJ455,Data_Validation!$A:$D,1,0)</f>
        <v>#N/A</v>
      </c>
      <c r="AP455" s="487" t="e">
        <f>+VLOOKUP($AJ455,Data_Validation!$A:$D,3,0)</f>
        <v>#N/A</v>
      </c>
      <c r="AQ455" s="487" t="e">
        <f>+VLOOKUP($AJ455,Data_Validation!$A:$D,4,0)</f>
        <v>#N/A</v>
      </c>
      <c r="AR455" s="487" t="s">
        <v>299</v>
      </c>
      <c r="AS455" s="487" t="e">
        <f>+VLOOKUP($AJ455,Data_Validation!$A:$E,5,0)</f>
        <v>#N/A</v>
      </c>
      <c r="AT455" s="904">
        <f t="shared" si="30"/>
        <v>0</v>
      </c>
      <c r="AU455" s="488">
        <f t="shared" si="30"/>
        <v>0</v>
      </c>
      <c r="AV455" s="899">
        <f>IFERROR(INDEX(V455:AG455,1,MATCH(Parametres!$B$3,V$1:AG$1,0)-1)*IF(OR(C455="L",C455="S",C455="I"),-1,1),"")</f>
        <v>0</v>
      </c>
      <c r="AW455" s="899">
        <f t="shared" si="31"/>
        <v>0</v>
      </c>
      <c r="AX455" s="899">
        <f>INDEX(V455:AG455,1,MATCH(Parametres!$B$3,V$1:AG$1,0))*IF(OR(C455="L",C455="S",C455="I"),-1,1)</f>
        <v>0</v>
      </c>
      <c r="AY455" s="487" t="s">
        <v>337</v>
      </c>
      <c r="AZ455" s="487" t="e">
        <f>+VLOOKUP($AJ455,Data_Validation!$A:$E,5,0)</f>
        <v>#N/A</v>
      </c>
    </row>
    <row r="456" spans="36:52" ht="15" customHeight="1">
      <c r="AJ456" s="899">
        <f t="shared" si="28"/>
        <v>0</v>
      </c>
      <c r="AK456" s="899">
        <f t="shared" si="28"/>
        <v>0</v>
      </c>
      <c r="AL456" s="905">
        <f>IFERROR(INDEX(G456:R456,1,MATCH(Parametres!$B$3,G$1:R$1,0)-1)*IF(OR(F456="L",F456="S",F456="I"),-1,1),"")</f>
        <v>0</v>
      </c>
      <c r="AM456" s="905">
        <f t="shared" si="29"/>
        <v>0</v>
      </c>
      <c r="AN456" s="905">
        <f>INDEX(G456:R456,1,MATCH(Parametres!$B$3,G$1:R$1,0))*IF(OR(F456="L",F456="S",F456="I"),-1,1)</f>
        <v>0</v>
      </c>
      <c r="AO456" s="487" t="e">
        <f>+VLOOKUP($AJ456,Data_Validation!$A:$D,1,0)</f>
        <v>#N/A</v>
      </c>
      <c r="AP456" s="487" t="e">
        <f>+VLOOKUP($AJ456,Data_Validation!$A:$D,3,0)</f>
        <v>#N/A</v>
      </c>
      <c r="AQ456" s="487" t="e">
        <f>+VLOOKUP($AJ456,Data_Validation!$A:$D,4,0)</f>
        <v>#N/A</v>
      </c>
      <c r="AR456" s="487" t="s">
        <v>299</v>
      </c>
      <c r="AS456" s="487" t="e">
        <f>+VLOOKUP($AJ456,Data_Validation!$A:$E,5,0)</f>
        <v>#N/A</v>
      </c>
      <c r="AT456" s="904">
        <f t="shared" si="30"/>
        <v>0</v>
      </c>
      <c r="AU456" s="488">
        <f t="shared" si="30"/>
        <v>0</v>
      </c>
      <c r="AV456" s="899">
        <f>IFERROR(INDEX(V456:AG456,1,MATCH(Parametres!$B$3,V$1:AG$1,0)-1)*IF(OR(C456="L",C456="S",C456="I"),-1,1),"")</f>
        <v>0</v>
      </c>
      <c r="AW456" s="899">
        <f t="shared" si="31"/>
        <v>0</v>
      </c>
      <c r="AX456" s="899">
        <f>INDEX(V456:AG456,1,MATCH(Parametres!$B$3,V$1:AG$1,0))*IF(OR(C456="L",C456="S",C456="I"),-1,1)</f>
        <v>0</v>
      </c>
      <c r="AY456" s="487" t="s">
        <v>337</v>
      </c>
      <c r="AZ456" s="487" t="e">
        <f>+VLOOKUP($AJ456,Data_Validation!$A:$E,5,0)</f>
        <v>#N/A</v>
      </c>
    </row>
    <row r="457" spans="36:52" ht="15" customHeight="1">
      <c r="AJ457" s="899">
        <f t="shared" si="28"/>
        <v>0</v>
      </c>
      <c r="AK457" s="899">
        <f t="shared" si="28"/>
        <v>0</v>
      </c>
      <c r="AL457" s="905">
        <f>IFERROR(INDEX(G457:R457,1,MATCH(Parametres!$B$3,G$1:R$1,0)-1)*IF(OR(F457="L",F457="S",F457="I"),-1,1),"")</f>
        <v>0</v>
      </c>
      <c r="AM457" s="905">
        <f t="shared" si="29"/>
        <v>0</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f t="shared" si="30"/>
        <v>0</v>
      </c>
      <c r="AU457" s="488">
        <f t="shared" si="30"/>
        <v>0</v>
      </c>
      <c r="AV457" s="899">
        <f>IFERROR(INDEX(V457:AG457,1,MATCH(Parametres!$B$3,V$1:AG$1,0)-1)*IF(OR(C457="L",C457="S",C457="I"),-1,1),"")</f>
        <v>0</v>
      </c>
      <c r="AW457" s="899">
        <f t="shared" si="31"/>
        <v>0</v>
      </c>
      <c r="AX457" s="899">
        <f>INDEX(V457:AG457,1,MATCH(Parametres!$B$3,V$1:AG$1,0))*IF(OR(C457="L",C457="S",C457="I"),-1,1)</f>
        <v>0</v>
      </c>
      <c r="AY457" s="487" t="s">
        <v>337</v>
      </c>
      <c r="AZ457" s="487" t="e">
        <f>+VLOOKUP($AJ457,Data_Validation!$A:$E,5,0)</f>
        <v>#N/A</v>
      </c>
    </row>
    <row r="458" spans="36:52" ht="15" customHeight="1">
      <c r="AJ458" s="899">
        <f t="shared" si="28"/>
        <v>0</v>
      </c>
      <c r="AK458" s="899">
        <f t="shared" si="28"/>
        <v>0</v>
      </c>
      <c r="AL458" s="905">
        <f>IFERROR(INDEX(G458:R458,1,MATCH(Parametres!$B$3,G$1:R$1,0)-1)*IF(OR(F458="L",F458="S",F458="I"),-1,1),"")</f>
        <v>0</v>
      </c>
      <c r="AM458" s="905">
        <f t="shared" si="29"/>
        <v>0</v>
      </c>
      <c r="AN458" s="905">
        <f>INDEX(G458:R458,1,MATCH(Parametres!$B$3,G$1:R$1,0))*IF(OR(F458="L",F458="S",F458="I"),-1,1)</f>
        <v>0</v>
      </c>
      <c r="AO458" s="487" t="e">
        <f>+VLOOKUP($AJ458,Data_Validation!$A:$D,1,0)</f>
        <v>#N/A</v>
      </c>
      <c r="AP458" s="487" t="e">
        <f>+VLOOKUP($AJ458,Data_Validation!$A:$D,3,0)</f>
        <v>#N/A</v>
      </c>
      <c r="AQ458" s="487" t="e">
        <f>+VLOOKUP($AJ458,Data_Validation!$A:$D,4,0)</f>
        <v>#N/A</v>
      </c>
      <c r="AR458" s="487" t="s">
        <v>299</v>
      </c>
      <c r="AS458" s="487" t="e">
        <f>+VLOOKUP($AJ458,Data_Validation!$A:$E,5,0)</f>
        <v>#N/A</v>
      </c>
      <c r="AT458" s="904">
        <f t="shared" si="30"/>
        <v>0</v>
      </c>
      <c r="AU458" s="488">
        <f t="shared" si="30"/>
        <v>0</v>
      </c>
      <c r="AV458" s="899">
        <f>IFERROR(INDEX(V458:AG458,1,MATCH(Parametres!$B$3,V$1:AG$1,0)-1)*IF(OR(C458="L",C458="S",C458="I"),-1,1),"")</f>
        <v>0</v>
      </c>
      <c r="AW458" s="899">
        <f t="shared" si="31"/>
        <v>0</v>
      </c>
      <c r="AX458" s="899">
        <f>INDEX(V458:AG458,1,MATCH(Parametres!$B$3,V$1:AG$1,0))*IF(OR(C458="L",C458="S",C458="I"),-1,1)</f>
        <v>0</v>
      </c>
      <c r="AY458" s="487" t="s">
        <v>337</v>
      </c>
      <c r="AZ458" s="487" t="e">
        <f>+VLOOKUP($AJ458,Data_Validation!$A:$E,5,0)</f>
        <v>#N/A</v>
      </c>
    </row>
    <row r="459" spans="36:52" ht="15" customHeight="1">
      <c r="AJ459" s="899">
        <f t="shared" si="28"/>
        <v>0</v>
      </c>
      <c r="AK459" s="899">
        <f t="shared" si="28"/>
        <v>0</v>
      </c>
      <c r="AL459" s="905">
        <f>IFERROR(INDEX(G459:R459,1,MATCH(Parametres!$B$3,G$1:R$1,0)-1)*IF(OR(F459="L",F459="S",F459="I"),-1,1),"")</f>
        <v>0</v>
      </c>
      <c r="AM459" s="905">
        <f t="shared" si="29"/>
        <v>0</v>
      </c>
      <c r="AN459" s="905">
        <f>INDEX(G459:R459,1,MATCH(Parametres!$B$3,G$1:R$1,0))*IF(OR(F459="L",F459="S",F459="I"),-1,1)</f>
        <v>0</v>
      </c>
      <c r="AO459" s="487" t="e">
        <f>+VLOOKUP($AJ459,Data_Validation!$A:$D,1,0)</f>
        <v>#N/A</v>
      </c>
      <c r="AP459" s="487" t="e">
        <f>+VLOOKUP($AJ459,Data_Validation!$A:$D,3,0)</f>
        <v>#N/A</v>
      </c>
      <c r="AQ459" s="487" t="e">
        <f>+VLOOKUP($AJ459,Data_Validation!$A:$D,4,0)</f>
        <v>#N/A</v>
      </c>
      <c r="AR459" s="487" t="s">
        <v>299</v>
      </c>
      <c r="AS459" s="487" t="e">
        <f>+VLOOKUP($AJ459,Data_Validation!$A:$E,5,0)</f>
        <v>#N/A</v>
      </c>
      <c r="AT459" s="904">
        <f t="shared" si="30"/>
        <v>0</v>
      </c>
      <c r="AU459" s="488">
        <f t="shared" si="30"/>
        <v>0</v>
      </c>
      <c r="AV459" s="899">
        <f>IFERROR(INDEX(V459:AG459,1,MATCH(Parametres!$B$3,V$1:AG$1,0)-1)*IF(OR(C459="L",C459="S",C459="I"),-1,1),"")</f>
        <v>0</v>
      </c>
      <c r="AW459" s="899">
        <f t="shared" si="31"/>
        <v>0</v>
      </c>
      <c r="AX459" s="899">
        <f>INDEX(V459:AG459,1,MATCH(Parametres!$B$3,V$1:AG$1,0))*IF(OR(C459="L",C459="S",C459="I"),-1,1)</f>
        <v>0</v>
      </c>
      <c r="AY459" s="487" t="s">
        <v>337</v>
      </c>
      <c r="AZ459" s="487" t="e">
        <f>+VLOOKUP($AJ459,Data_Validation!$A:$E,5,0)</f>
        <v>#N/A</v>
      </c>
    </row>
    <row r="460" spans="36:52" ht="15" customHeight="1">
      <c r="AJ460" s="899">
        <f t="shared" si="28"/>
        <v>0</v>
      </c>
      <c r="AK460" s="899">
        <f t="shared" si="28"/>
        <v>0</v>
      </c>
      <c r="AL460" s="905">
        <f>IFERROR(INDEX(G460:R460,1,MATCH(Parametres!$B$3,G$1:R$1,0)-1)*IF(OR(F460="L",F460="S",F460="I"),-1,1),"")</f>
        <v>0</v>
      </c>
      <c r="AM460" s="905">
        <f t="shared" si="29"/>
        <v>0</v>
      </c>
      <c r="AN460" s="905">
        <f>INDEX(G460:R460,1,MATCH(Parametres!$B$3,G$1:R$1,0))*IF(OR(F460="L",F460="S",F460="I"),-1,1)</f>
        <v>0</v>
      </c>
      <c r="AO460" s="487" t="e">
        <f>+VLOOKUP($AJ460,Data_Validation!$A:$D,1,0)</f>
        <v>#N/A</v>
      </c>
      <c r="AP460" s="487" t="e">
        <f>+VLOOKUP($AJ460,Data_Validation!$A:$D,3,0)</f>
        <v>#N/A</v>
      </c>
      <c r="AQ460" s="487" t="e">
        <f>+VLOOKUP($AJ460,Data_Validation!$A:$D,4,0)</f>
        <v>#N/A</v>
      </c>
      <c r="AR460" s="487" t="s">
        <v>299</v>
      </c>
      <c r="AS460" s="487" t="e">
        <f>+VLOOKUP($AJ460,Data_Validation!$A:$E,5,0)</f>
        <v>#N/A</v>
      </c>
      <c r="AT460" s="904">
        <f t="shared" si="30"/>
        <v>0</v>
      </c>
      <c r="AU460" s="488">
        <f t="shared" si="30"/>
        <v>0</v>
      </c>
      <c r="AV460" s="899">
        <f>IFERROR(INDEX(V460:AG460,1,MATCH(Parametres!$B$3,V$1:AG$1,0)-1)*IF(OR(C460="L",C460="S",C460="I"),-1,1),"")</f>
        <v>0</v>
      </c>
      <c r="AW460" s="899">
        <f t="shared" si="31"/>
        <v>0</v>
      </c>
      <c r="AX460" s="899">
        <f>INDEX(V460:AG460,1,MATCH(Parametres!$B$3,V$1:AG$1,0))*IF(OR(C460="L",C460="S",C460="I"),-1,1)</f>
        <v>0</v>
      </c>
      <c r="AY460" s="487" t="s">
        <v>337</v>
      </c>
      <c r="AZ460" s="487" t="e">
        <f>+VLOOKUP($AJ460,Data_Validation!$A:$E,5,0)</f>
        <v>#N/A</v>
      </c>
    </row>
    <row r="461" spans="36:52" ht="15" customHeight="1">
      <c r="AJ461" s="899">
        <f t="shared" si="28"/>
        <v>0</v>
      </c>
      <c r="AK461" s="899">
        <f t="shared" si="28"/>
        <v>0</v>
      </c>
      <c r="AL461" s="905">
        <f>IFERROR(INDEX(G461:R461,1,MATCH(Parametres!$B$3,G$1:R$1,0)-1)*IF(OR(F461="L",F461="S",F461="I"),-1,1),"")</f>
        <v>0</v>
      </c>
      <c r="AM461" s="905">
        <f t="shared" si="29"/>
        <v>0</v>
      </c>
      <c r="AN461" s="905">
        <f>INDEX(G461:R461,1,MATCH(Parametres!$B$3,G$1:R$1,0))*IF(OR(F461="L",F461="S",F461="I"),-1,1)</f>
        <v>0</v>
      </c>
      <c r="AO461" s="487" t="e">
        <f>+VLOOKUP($AJ461,Data_Validation!$A:$D,1,0)</f>
        <v>#N/A</v>
      </c>
      <c r="AP461" s="487" t="e">
        <f>+VLOOKUP($AJ461,Data_Validation!$A:$D,3,0)</f>
        <v>#N/A</v>
      </c>
      <c r="AQ461" s="487" t="e">
        <f>+VLOOKUP($AJ461,Data_Validation!$A:$D,4,0)</f>
        <v>#N/A</v>
      </c>
      <c r="AR461" s="487" t="s">
        <v>299</v>
      </c>
      <c r="AS461" s="487" t="e">
        <f>+VLOOKUP($AJ461,Data_Validation!$A:$E,5,0)</f>
        <v>#N/A</v>
      </c>
      <c r="AT461" s="904">
        <f t="shared" si="30"/>
        <v>0</v>
      </c>
      <c r="AU461" s="488">
        <f t="shared" si="30"/>
        <v>0</v>
      </c>
      <c r="AV461" s="899">
        <f>IFERROR(INDEX(V461:AG461,1,MATCH(Parametres!$B$3,V$1:AG$1,0)-1)*IF(OR(C461="L",C461="S",C461="I"),-1,1),"")</f>
        <v>0</v>
      </c>
      <c r="AW461" s="899">
        <f t="shared" si="31"/>
        <v>0</v>
      </c>
      <c r="AX461" s="899">
        <f>INDEX(V461:AG461,1,MATCH(Parametres!$B$3,V$1:AG$1,0))*IF(OR(C461="L",C461="S",C461="I"),-1,1)</f>
        <v>0</v>
      </c>
      <c r="AY461" s="487" t="s">
        <v>337</v>
      </c>
      <c r="AZ461" s="487" t="e">
        <f>+VLOOKUP($AJ461,Data_Validation!$A:$E,5,0)</f>
        <v>#N/A</v>
      </c>
    </row>
    <row r="462" spans="36:52" ht="15" customHeight="1">
      <c r="AJ462" s="899">
        <f t="shared" si="28"/>
        <v>0</v>
      </c>
      <c r="AK462" s="899">
        <f t="shared" si="28"/>
        <v>0</v>
      </c>
      <c r="AL462" s="905">
        <f>IFERROR(INDEX(G462:R462,1,MATCH(Parametres!$B$3,G$1:R$1,0)-1)*IF(OR(F462="L",F462="S",F462="I"),-1,1),"")</f>
        <v>0</v>
      </c>
      <c r="AM462" s="905">
        <f t="shared" si="29"/>
        <v>0</v>
      </c>
      <c r="AN462" s="905">
        <f>INDEX(G462:R462,1,MATCH(Parametres!$B$3,G$1:R$1,0))*IF(OR(F462="L",F462="S",F462="I"),-1,1)</f>
        <v>0</v>
      </c>
      <c r="AO462" s="487" t="e">
        <f>+VLOOKUP($AJ462,Data_Validation!$A:$D,1,0)</f>
        <v>#N/A</v>
      </c>
      <c r="AP462" s="487" t="e">
        <f>+VLOOKUP($AJ462,Data_Validation!$A:$D,3,0)</f>
        <v>#N/A</v>
      </c>
      <c r="AQ462" s="487" t="e">
        <f>+VLOOKUP($AJ462,Data_Validation!$A:$D,4,0)</f>
        <v>#N/A</v>
      </c>
      <c r="AR462" s="487" t="s">
        <v>299</v>
      </c>
      <c r="AS462" s="487" t="e">
        <f>+VLOOKUP($AJ462,Data_Validation!$A:$E,5,0)</f>
        <v>#N/A</v>
      </c>
      <c r="AT462" s="904">
        <f t="shared" si="30"/>
        <v>0</v>
      </c>
      <c r="AU462" s="488">
        <f t="shared" si="30"/>
        <v>0</v>
      </c>
      <c r="AV462" s="899">
        <f>IFERROR(INDEX(V462:AG462,1,MATCH(Parametres!$B$3,V$1:AG$1,0)-1)*IF(OR(C462="L",C462="S",C462="I"),-1,1),"")</f>
        <v>0</v>
      </c>
      <c r="AW462" s="899">
        <f t="shared" si="31"/>
        <v>0</v>
      </c>
      <c r="AX462" s="899">
        <f>INDEX(V462:AG462,1,MATCH(Parametres!$B$3,V$1:AG$1,0))*IF(OR(C462="L",C462="S",C462="I"),-1,1)</f>
        <v>0</v>
      </c>
      <c r="AY462" s="487" t="s">
        <v>337</v>
      </c>
      <c r="AZ462" s="487" t="e">
        <f>+VLOOKUP($AJ462,Data_Validation!$A:$E,5,0)</f>
        <v>#N/A</v>
      </c>
    </row>
    <row r="463" spans="36:52" ht="15" customHeight="1">
      <c r="AJ463" s="899">
        <f t="shared" si="28"/>
        <v>0</v>
      </c>
      <c r="AK463" s="899">
        <f t="shared" si="28"/>
        <v>0</v>
      </c>
      <c r="AL463" s="905">
        <f>IFERROR(INDEX(G463:R463,1,MATCH(Parametres!$B$3,G$1:R$1,0)-1)*IF(OR(F463="L",F463="S",F463="I"),-1,1),"")</f>
        <v>0</v>
      </c>
      <c r="AM463" s="905">
        <f t="shared" si="29"/>
        <v>0</v>
      </c>
      <c r="AN463" s="905">
        <f>INDEX(G463:R463,1,MATCH(Parametres!$B$3,G$1:R$1,0))*IF(OR(F463="L",F463="S",F463="I"),-1,1)</f>
        <v>0</v>
      </c>
      <c r="AO463" s="487" t="e">
        <f>+VLOOKUP($AJ463,Data_Validation!$A:$D,1,0)</f>
        <v>#N/A</v>
      </c>
      <c r="AP463" s="487" t="e">
        <f>+VLOOKUP($AJ463,Data_Validation!$A:$D,3,0)</f>
        <v>#N/A</v>
      </c>
      <c r="AQ463" s="487" t="e">
        <f>+VLOOKUP($AJ463,Data_Validation!$A:$D,4,0)</f>
        <v>#N/A</v>
      </c>
      <c r="AR463" s="487" t="s">
        <v>299</v>
      </c>
      <c r="AS463" s="487" t="e">
        <f>+VLOOKUP($AJ463,Data_Validation!$A:$E,5,0)</f>
        <v>#N/A</v>
      </c>
      <c r="AT463" s="904">
        <f t="shared" si="30"/>
        <v>0</v>
      </c>
      <c r="AU463" s="488">
        <f t="shared" si="30"/>
        <v>0</v>
      </c>
      <c r="AV463" s="899">
        <f>IFERROR(INDEX(V463:AG463,1,MATCH(Parametres!$B$3,V$1:AG$1,0)-1)*IF(OR(C463="L",C463="S",C463="I"),-1,1),"")</f>
        <v>0</v>
      </c>
      <c r="AW463" s="899">
        <f t="shared" si="31"/>
        <v>0</v>
      </c>
      <c r="AX463" s="899">
        <f>INDEX(V463:AG463,1,MATCH(Parametres!$B$3,V$1:AG$1,0))*IF(OR(C463="L",C463="S",C463="I"),-1,1)</f>
        <v>0</v>
      </c>
      <c r="AY463" s="487" t="s">
        <v>337</v>
      </c>
      <c r="AZ463" s="487" t="e">
        <f>+VLOOKUP($AJ463,Data_Validation!$A:$E,5,0)</f>
        <v>#N/A</v>
      </c>
    </row>
    <row r="464" spans="36:52" ht="15" customHeight="1">
      <c r="AJ464" s="899">
        <f t="shared" si="28"/>
        <v>0</v>
      </c>
      <c r="AK464" s="899">
        <f t="shared" si="28"/>
        <v>0</v>
      </c>
      <c r="AL464" s="905">
        <f>IFERROR(INDEX(G464:R464,1,MATCH(Parametres!$B$3,G$1:R$1,0)-1)*IF(OR(F464="L",F464="S",F464="I"),-1,1),"")</f>
        <v>0</v>
      </c>
      <c r="AM464" s="905">
        <f t="shared" si="29"/>
        <v>0</v>
      </c>
      <c r="AN464" s="905">
        <f>INDEX(G464:R464,1,MATCH(Parametres!$B$3,G$1:R$1,0))*IF(OR(F464="L",F464="S",F464="I"),-1,1)</f>
        <v>0</v>
      </c>
      <c r="AO464" s="487" t="e">
        <f>+VLOOKUP($AJ464,Data_Validation!$A:$D,1,0)</f>
        <v>#N/A</v>
      </c>
      <c r="AP464" s="487" t="e">
        <f>+VLOOKUP($AJ464,Data_Validation!$A:$D,3,0)</f>
        <v>#N/A</v>
      </c>
      <c r="AQ464" s="487" t="e">
        <f>+VLOOKUP($AJ464,Data_Validation!$A:$D,4,0)</f>
        <v>#N/A</v>
      </c>
      <c r="AR464" s="487" t="s">
        <v>299</v>
      </c>
      <c r="AS464" s="487" t="e">
        <f>+VLOOKUP($AJ464,Data_Validation!$A:$E,5,0)</f>
        <v>#N/A</v>
      </c>
      <c r="AT464" s="904">
        <f t="shared" si="30"/>
        <v>0</v>
      </c>
      <c r="AU464" s="488">
        <f t="shared" si="30"/>
        <v>0</v>
      </c>
      <c r="AV464" s="899">
        <f>IFERROR(INDEX(V464:AG464,1,MATCH(Parametres!$B$3,V$1:AG$1,0)-1)*IF(OR(C464="L",C464="S",C464="I"),-1,1),"")</f>
        <v>0</v>
      </c>
      <c r="AW464" s="899">
        <f t="shared" si="31"/>
        <v>0</v>
      </c>
      <c r="AX464" s="899">
        <f>INDEX(V464:AG464,1,MATCH(Parametres!$B$3,V$1:AG$1,0))*IF(OR(C464="L",C464="S",C464="I"),-1,1)</f>
        <v>0</v>
      </c>
      <c r="AY464" s="487" t="s">
        <v>337</v>
      </c>
      <c r="AZ464" s="487" t="e">
        <f>+VLOOKUP($AJ464,Data_Validation!$A:$E,5,0)</f>
        <v>#N/A</v>
      </c>
    </row>
    <row r="465" spans="36:52" ht="15" customHeight="1">
      <c r="AJ465" s="899">
        <f t="shared" si="28"/>
        <v>0</v>
      </c>
      <c r="AK465" s="899">
        <f t="shared" si="28"/>
        <v>0</v>
      </c>
      <c r="AL465" s="905">
        <f>IFERROR(INDEX(G465:R465,1,MATCH(Parametres!$B$3,G$1:R$1,0)-1)*IF(OR(F465="L",F465="S",F465="I"),-1,1),"")</f>
        <v>0</v>
      </c>
      <c r="AM465" s="905">
        <f t="shared" si="29"/>
        <v>0</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f t="shared" si="30"/>
        <v>0</v>
      </c>
      <c r="AU465" s="488">
        <f t="shared" si="30"/>
        <v>0</v>
      </c>
      <c r="AV465" s="899">
        <f>IFERROR(INDEX(V465:AG465,1,MATCH(Parametres!$B$3,V$1:AG$1,0)-1)*IF(OR(C465="L",C465="S",C465="I"),-1,1),"")</f>
        <v>0</v>
      </c>
      <c r="AW465" s="899">
        <f t="shared" si="31"/>
        <v>0</v>
      </c>
      <c r="AX465" s="899">
        <f>INDEX(V465:AG465,1,MATCH(Parametres!$B$3,V$1:AG$1,0))*IF(OR(C465="L",C465="S",C465="I"),-1,1)</f>
        <v>0</v>
      </c>
      <c r="AY465" s="487" t="s">
        <v>337</v>
      </c>
      <c r="AZ465" s="487" t="e">
        <f>+VLOOKUP($AJ465,Data_Validation!$A:$E,5,0)</f>
        <v>#N/A</v>
      </c>
    </row>
    <row r="466" spans="36:52" ht="15" customHeight="1">
      <c r="AJ466" s="899">
        <f t="shared" si="28"/>
        <v>0</v>
      </c>
      <c r="AK466" s="899">
        <f t="shared" si="28"/>
        <v>0</v>
      </c>
      <c r="AL466" s="905">
        <f>IFERROR(INDEX(G466:R466,1,MATCH(Parametres!$B$3,G$1:R$1,0)-1)*IF(OR(F466="L",F466="S",F466="I"),-1,1),"")</f>
        <v>0</v>
      </c>
      <c r="AM466" s="905">
        <f t="shared" si="29"/>
        <v>0</v>
      </c>
      <c r="AN466" s="905">
        <f>INDEX(G466:R466,1,MATCH(Parametres!$B$3,G$1:R$1,0))*IF(OR(F466="L",F466="S",F466="I"),-1,1)</f>
        <v>0</v>
      </c>
      <c r="AO466" s="487" t="e">
        <f>+VLOOKUP($AJ466,Data_Validation!$A:$D,1,0)</f>
        <v>#N/A</v>
      </c>
      <c r="AP466" s="487" t="e">
        <f>+VLOOKUP($AJ466,Data_Validation!$A:$D,3,0)</f>
        <v>#N/A</v>
      </c>
      <c r="AQ466" s="487" t="e">
        <f>+VLOOKUP($AJ466,Data_Validation!$A:$D,4,0)</f>
        <v>#N/A</v>
      </c>
      <c r="AR466" s="487" t="s">
        <v>299</v>
      </c>
      <c r="AS466" s="487" t="e">
        <f>+VLOOKUP($AJ466,Data_Validation!$A:$E,5,0)</f>
        <v>#N/A</v>
      </c>
      <c r="AT466" s="904">
        <f t="shared" si="30"/>
        <v>0</v>
      </c>
      <c r="AU466" s="488">
        <f t="shared" si="30"/>
        <v>0</v>
      </c>
      <c r="AV466" s="899">
        <f>IFERROR(INDEX(V466:AG466,1,MATCH(Parametres!$B$3,V$1:AG$1,0)-1)*IF(OR(C466="L",C466="S",C466="I"),-1,1),"")</f>
        <v>0</v>
      </c>
      <c r="AW466" s="899">
        <f t="shared" si="31"/>
        <v>0</v>
      </c>
      <c r="AX466" s="899">
        <f>INDEX(V466:AG466,1,MATCH(Parametres!$B$3,V$1:AG$1,0))*IF(OR(C466="L",C466="S",C466="I"),-1,1)</f>
        <v>0</v>
      </c>
      <c r="AY466" s="487" t="s">
        <v>337</v>
      </c>
      <c r="AZ466" s="487" t="e">
        <f>+VLOOKUP($AJ466,Data_Validation!$A:$E,5,0)</f>
        <v>#N/A</v>
      </c>
    </row>
    <row r="467" spans="36:52" ht="15" customHeight="1">
      <c r="AJ467" s="899">
        <f t="shared" si="28"/>
        <v>0</v>
      </c>
      <c r="AK467" s="899">
        <f t="shared" si="28"/>
        <v>0</v>
      </c>
      <c r="AL467" s="905">
        <f>IFERROR(INDEX(G467:R467,1,MATCH(Parametres!$B$3,G$1:R$1,0)-1)*IF(OR(F467="L",F467="S",F467="I"),-1,1),"")</f>
        <v>0</v>
      </c>
      <c r="AM467" s="905">
        <f t="shared" si="29"/>
        <v>0</v>
      </c>
      <c r="AN467" s="905">
        <f>INDEX(G467:R467,1,MATCH(Parametres!$B$3,G$1:R$1,0))*IF(OR(F467="L",F467="S",F467="I"),-1,1)</f>
        <v>0</v>
      </c>
      <c r="AO467" s="487" t="e">
        <f>+VLOOKUP($AJ467,Data_Validation!$A:$D,1,0)</f>
        <v>#N/A</v>
      </c>
      <c r="AP467" s="487" t="e">
        <f>+VLOOKUP($AJ467,Data_Validation!$A:$D,3,0)</f>
        <v>#N/A</v>
      </c>
      <c r="AQ467" s="487" t="e">
        <f>+VLOOKUP($AJ467,Data_Validation!$A:$D,4,0)</f>
        <v>#N/A</v>
      </c>
      <c r="AR467" s="487" t="s">
        <v>299</v>
      </c>
      <c r="AS467" s="487" t="e">
        <f>+VLOOKUP($AJ467,Data_Validation!$A:$E,5,0)</f>
        <v>#N/A</v>
      </c>
      <c r="AT467" s="904">
        <f t="shared" si="30"/>
        <v>0</v>
      </c>
      <c r="AU467" s="488">
        <f t="shared" si="30"/>
        <v>0</v>
      </c>
      <c r="AV467" s="899">
        <f>IFERROR(INDEX(V467:AG467,1,MATCH(Parametres!$B$3,V$1:AG$1,0)-1)*IF(OR(C467="L",C467="S",C467="I"),-1,1),"")</f>
        <v>0</v>
      </c>
      <c r="AW467" s="899">
        <f t="shared" si="31"/>
        <v>0</v>
      </c>
      <c r="AX467" s="899">
        <f>INDEX(V467:AG467,1,MATCH(Parametres!$B$3,V$1:AG$1,0))*IF(OR(C467="L",C467="S",C467="I"),-1,1)</f>
        <v>0</v>
      </c>
      <c r="AY467" s="487" t="s">
        <v>337</v>
      </c>
      <c r="AZ467" s="487" t="e">
        <f>+VLOOKUP($AJ467,Data_Validation!$A:$E,5,0)</f>
        <v>#N/A</v>
      </c>
    </row>
    <row r="468" spans="36:52" ht="15" customHeight="1">
      <c r="AJ468" s="899">
        <f t="shared" ref="AJ468:AK531" si="32">C468</f>
        <v>0</v>
      </c>
      <c r="AK468" s="899">
        <f t="shared" si="32"/>
        <v>0</v>
      </c>
      <c r="AL468" s="905">
        <f>IFERROR(INDEX(G468:R468,1,MATCH(Parametres!$B$3,G$1:R$1,0)-1)*IF(OR(F468="L",F468="S",F468="I"),-1,1),"")</f>
        <v>0</v>
      </c>
      <c r="AM468" s="905">
        <f t="shared" si="29"/>
        <v>0</v>
      </c>
      <c r="AN468" s="905">
        <f>INDEX(G468:R468,1,MATCH(Parametres!$B$3,G$1:R$1,0))*IF(OR(F468="L",F468="S",F468="I"),-1,1)</f>
        <v>0</v>
      </c>
      <c r="AO468" s="487" t="e">
        <f>+VLOOKUP($AJ468,Data_Validation!$A:$D,1,0)</f>
        <v>#N/A</v>
      </c>
      <c r="AP468" s="487" t="e">
        <f>+VLOOKUP($AJ468,Data_Validation!$A:$D,3,0)</f>
        <v>#N/A</v>
      </c>
      <c r="AQ468" s="487" t="e">
        <f>+VLOOKUP($AJ468,Data_Validation!$A:$D,4,0)</f>
        <v>#N/A</v>
      </c>
      <c r="AR468" s="487" t="s">
        <v>299</v>
      </c>
      <c r="AS468" s="487" t="e">
        <f>+VLOOKUP($AJ468,Data_Validation!$A:$E,5,0)</f>
        <v>#N/A</v>
      </c>
      <c r="AT468" s="904">
        <f t="shared" si="30"/>
        <v>0</v>
      </c>
      <c r="AU468" s="488">
        <f t="shared" si="30"/>
        <v>0</v>
      </c>
      <c r="AV468" s="899">
        <f>IFERROR(INDEX(V468:AG468,1,MATCH(Parametres!$B$3,V$1:AG$1,0)-1)*IF(OR(C468="L",C468="S",C468="I"),-1,1),"")</f>
        <v>0</v>
      </c>
      <c r="AW468" s="899">
        <f t="shared" si="31"/>
        <v>0</v>
      </c>
      <c r="AX468" s="899">
        <f>INDEX(V468:AG468,1,MATCH(Parametres!$B$3,V$1:AG$1,0))*IF(OR(C468="L",C468="S",C468="I"),-1,1)</f>
        <v>0</v>
      </c>
      <c r="AY468" s="487" t="s">
        <v>337</v>
      </c>
      <c r="AZ468" s="487" t="e">
        <f>+VLOOKUP($AJ468,Data_Validation!$A:$E,5,0)</f>
        <v>#N/A</v>
      </c>
    </row>
    <row r="469" spans="36:52" ht="15" customHeight="1">
      <c r="AJ469" s="899">
        <f t="shared" si="32"/>
        <v>0</v>
      </c>
      <c r="AK469" s="899">
        <f t="shared" si="32"/>
        <v>0</v>
      </c>
      <c r="AL469" s="905">
        <f>IFERROR(INDEX(G469:R469,1,MATCH(Parametres!$B$3,G$1:R$1,0)-1)*IF(OR(F469="L",F469="S",F469="I"),-1,1),"")</f>
        <v>0</v>
      </c>
      <c r="AM469" s="905">
        <f t="shared" si="29"/>
        <v>0</v>
      </c>
      <c r="AN469" s="905">
        <f>INDEX(G469:R469,1,MATCH(Parametres!$B$3,G$1:R$1,0))*IF(OR(F469="L",F469="S",F469="I"),-1,1)</f>
        <v>0</v>
      </c>
      <c r="AO469" s="487" t="e">
        <f>+VLOOKUP($AJ469,Data_Validation!$A:$D,1,0)</f>
        <v>#N/A</v>
      </c>
      <c r="AP469" s="487" t="e">
        <f>+VLOOKUP($AJ469,Data_Validation!$A:$D,3,0)</f>
        <v>#N/A</v>
      </c>
      <c r="AQ469" s="487" t="e">
        <f>+VLOOKUP($AJ469,Data_Validation!$A:$D,4,0)</f>
        <v>#N/A</v>
      </c>
      <c r="AR469" s="487" t="s">
        <v>299</v>
      </c>
      <c r="AS469" s="487" t="e">
        <f>+VLOOKUP($AJ469,Data_Validation!$A:$E,5,0)</f>
        <v>#N/A</v>
      </c>
      <c r="AT469" s="904">
        <f t="shared" si="30"/>
        <v>0</v>
      </c>
      <c r="AU469" s="488">
        <f t="shared" si="30"/>
        <v>0</v>
      </c>
      <c r="AV469" s="899">
        <f>IFERROR(INDEX(V469:AG469,1,MATCH(Parametres!$B$3,V$1:AG$1,0)-1)*IF(OR(C469="L",C469="S",C469="I"),-1,1),"")</f>
        <v>0</v>
      </c>
      <c r="AW469" s="899">
        <f t="shared" si="31"/>
        <v>0</v>
      </c>
      <c r="AX469" s="899">
        <f>INDEX(V469:AG469,1,MATCH(Parametres!$B$3,V$1:AG$1,0))*IF(OR(C469="L",C469="S",C469="I"),-1,1)</f>
        <v>0</v>
      </c>
      <c r="AY469" s="487" t="s">
        <v>337</v>
      </c>
      <c r="AZ469" s="487" t="e">
        <f>+VLOOKUP($AJ469,Data_Validation!$A:$E,5,0)</f>
        <v>#N/A</v>
      </c>
    </row>
    <row r="470" spans="36:52" ht="15" customHeight="1">
      <c r="AJ470" s="899">
        <f t="shared" si="32"/>
        <v>0</v>
      </c>
      <c r="AK470" s="899">
        <f t="shared" si="32"/>
        <v>0</v>
      </c>
      <c r="AL470" s="905">
        <f>IFERROR(INDEX(G470:R470,1,MATCH(Parametres!$B$3,G$1:R$1,0)-1)*IF(OR(F470="L",F470="S",F470="I"),-1,1),"")</f>
        <v>0</v>
      </c>
      <c r="AM470" s="905">
        <f t="shared" si="29"/>
        <v>0</v>
      </c>
      <c r="AN470" s="905">
        <f>INDEX(G470:R470,1,MATCH(Parametres!$B$3,G$1:R$1,0))*IF(OR(F470="L",F470="S",F470="I"),-1,1)</f>
        <v>0</v>
      </c>
      <c r="AO470" s="487" t="e">
        <f>+VLOOKUP($AJ470,Data_Validation!$A:$D,1,0)</f>
        <v>#N/A</v>
      </c>
      <c r="AP470" s="487" t="e">
        <f>+VLOOKUP($AJ470,Data_Validation!$A:$D,3,0)</f>
        <v>#N/A</v>
      </c>
      <c r="AQ470" s="487" t="e">
        <f>+VLOOKUP($AJ470,Data_Validation!$A:$D,4,0)</f>
        <v>#N/A</v>
      </c>
      <c r="AR470" s="487" t="s">
        <v>299</v>
      </c>
      <c r="AS470" s="487" t="e">
        <f>+VLOOKUP($AJ470,Data_Validation!$A:$E,5,0)</f>
        <v>#N/A</v>
      </c>
      <c r="AT470" s="904">
        <f t="shared" si="30"/>
        <v>0</v>
      </c>
      <c r="AU470" s="488">
        <f t="shared" si="30"/>
        <v>0</v>
      </c>
      <c r="AV470" s="899">
        <f>IFERROR(INDEX(V470:AG470,1,MATCH(Parametres!$B$3,V$1:AG$1,0)-1)*IF(OR(C470="L",C470="S",C470="I"),-1,1),"")</f>
        <v>0</v>
      </c>
      <c r="AW470" s="899">
        <f t="shared" si="31"/>
        <v>0</v>
      </c>
      <c r="AX470" s="899">
        <f>INDEX(V470:AG470,1,MATCH(Parametres!$B$3,V$1:AG$1,0))*IF(OR(C470="L",C470="S",C470="I"),-1,1)</f>
        <v>0</v>
      </c>
      <c r="AY470" s="487" t="s">
        <v>337</v>
      </c>
      <c r="AZ470" s="487" t="e">
        <f>+VLOOKUP($AJ470,Data_Validation!$A:$E,5,0)</f>
        <v>#N/A</v>
      </c>
    </row>
    <row r="471" spans="36:52" ht="15" customHeight="1">
      <c r="AJ471" s="899">
        <f t="shared" si="32"/>
        <v>0</v>
      </c>
      <c r="AK471" s="899">
        <f t="shared" si="32"/>
        <v>0</v>
      </c>
      <c r="AL471" s="905">
        <f>IFERROR(INDEX(G471:R471,1,MATCH(Parametres!$B$3,G$1:R$1,0)-1)*IF(OR(F471="L",F471="S",F471="I"),-1,1),"")</f>
        <v>0</v>
      </c>
      <c r="AM471" s="905">
        <f t="shared" si="29"/>
        <v>0</v>
      </c>
      <c r="AN471" s="905">
        <f>INDEX(G471:R471,1,MATCH(Parametres!$B$3,G$1:R$1,0))*IF(OR(F471="L",F471="S",F471="I"),-1,1)</f>
        <v>0</v>
      </c>
      <c r="AO471" s="487" t="e">
        <f>+VLOOKUP($AJ471,Data_Validation!$A:$D,1,0)</f>
        <v>#N/A</v>
      </c>
      <c r="AP471" s="487" t="e">
        <f>+VLOOKUP($AJ471,Data_Validation!$A:$D,3,0)</f>
        <v>#N/A</v>
      </c>
      <c r="AQ471" s="487" t="e">
        <f>+VLOOKUP($AJ471,Data_Validation!$A:$D,4,0)</f>
        <v>#N/A</v>
      </c>
      <c r="AR471" s="487" t="s">
        <v>299</v>
      </c>
      <c r="AS471" s="487" t="e">
        <f>+VLOOKUP($AJ471,Data_Validation!$A:$E,5,0)</f>
        <v>#N/A</v>
      </c>
      <c r="AT471" s="904">
        <f t="shared" si="30"/>
        <v>0</v>
      </c>
      <c r="AU471" s="488">
        <f t="shared" si="30"/>
        <v>0</v>
      </c>
      <c r="AV471" s="899">
        <f>IFERROR(INDEX(V471:AG471,1,MATCH(Parametres!$B$3,V$1:AG$1,0)-1)*IF(OR(C471="L",C471="S",C471="I"),-1,1),"")</f>
        <v>0</v>
      </c>
      <c r="AW471" s="899">
        <f t="shared" si="31"/>
        <v>0</v>
      </c>
      <c r="AX471" s="899">
        <f>INDEX(V471:AG471,1,MATCH(Parametres!$B$3,V$1:AG$1,0))*IF(OR(C471="L",C471="S",C471="I"),-1,1)</f>
        <v>0</v>
      </c>
      <c r="AY471" s="487" t="s">
        <v>337</v>
      </c>
      <c r="AZ471" s="487" t="e">
        <f>+VLOOKUP($AJ471,Data_Validation!$A:$E,5,0)</f>
        <v>#N/A</v>
      </c>
    </row>
    <row r="472" spans="36:52" ht="15" customHeight="1">
      <c r="AJ472" s="899">
        <f t="shared" si="32"/>
        <v>0</v>
      </c>
      <c r="AK472" s="899">
        <f t="shared" si="32"/>
        <v>0</v>
      </c>
      <c r="AL472" s="905">
        <f>IFERROR(INDEX(G472:R472,1,MATCH(Parametres!$B$3,G$1:R$1,0)-1)*IF(OR(F472="L",F472="S",F472="I"),-1,1),"")</f>
        <v>0</v>
      </c>
      <c r="AM472" s="905">
        <f t="shared" si="29"/>
        <v>0</v>
      </c>
      <c r="AN472" s="905">
        <f>INDEX(G472:R472,1,MATCH(Parametres!$B$3,G$1:R$1,0))*IF(OR(F472="L",F472="S",F472="I"),-1,1)</f>
        <v>0</v>
      </c>
      <c r="AO472" s="487" t="e">
        <f>+VLOOKUP($AJ472,Data_Validation!$A:$D,1,0)</f>
        <v>#N/A</v>
      </c>
      <c r="AP472" s="487" t="e">
        <f>+VLOOKUP($AJ472,Data_Validation!$A:$D,3,0)</f>
        <v>#N/A</v>
      </c>
      <c r="AQ472" s="487" t="e">
        <f>+VLOOKUP($AJ472,Data_Validation!$A:$D,4,0)</f>
        <v>#N/A</v>
      </c>
      <c r="AR472" s="487" t="s">
        <v>299</v>
      </c>
      <c r="AS472" s="487" t="e">
        <f>+VLOOKUP($AJ472,Data_Validation!$A:$E,5,0)</f>
        <v>#N/A</v>
      </c>
      <c r="AT472" s="904">
        <f t="shared" si="30"/>
        <v>0</v>
      </c>
      <c r="AU472" s="488">
        <f t="shared" si="30"/>
        <v>0</v>
      </c>
      <c r="AV472" s="899">
        <f>IFERROR(INDEX(V472:AG472,1,MATCH(Parametres!$B$3,V$1:AG$1,0)-1)*IF(OR(C472="L",C472="S",C472="I"),-1,1),"")</f>
        <v>0</v>
      </c>
      <c r="AW472" s="899">
        <f t="shared" si="31"/>
        <v>0</v>
      </c>
      <c r="AX472" s="899">
        <f>INDEX(V472:AG472,1,MATCH(Parametres!$B$3,V$1:AG$1,0))*IF(OR(C472="L",C472="S",C472="I"),-1,1)</f>
        <v>0</v>
      </c>
      <c r="AY472" s="487" t="s">
        <v>337</v>
      </c>
      <c r="AZ472" s="487" t="e">
        <f>+VLOOKUP($AJ472,Data_Validation!$A:$E,5,0)</f>
        <v>#N/A</v>
      </c>
    </row>
    <row r="473" spans="36:52" ht="15" customHeight="1">
      <c r="AJ473" s="899">
        <f t="shared" si="32"/>
        <v>0</v>
      </c>
      <c r="AK473" s="899">
        <f t="shared" si="32"/>
        <v>0</v>
      </c>
      <c r="AL473" s="905">
        <f>IFERROR(INDEX(G473:R473,1,MATCH(Parametres!$B$3,G$1:R$1,0)-1)*IF(OR(F473="L",F473="S",F473="I"),-1,1),"")</f>
        <v>0</v>
      </c>
      <c r="AM473" s="905">
        <f t="shared" si="29"/>
        <v>0</v>
      </c>
      <c r="AN473" s="905">
        <f>INDEX(G473:R473,1,MATCH(Parametres!$B$3,G$1:R$1,0))*IF(OR(F473="L",F473="S",F473="I"),-1,1)</f>
        <v>0</v>
      </c>
      <c r="AO473" s="487" t="e">
        <f>+VLOOKUP($AJ473,Data_Validation!$A:$D,1,0)</f>
        <v>#N/A</v>
      </c>
      <c r="AP473" s="487" t="e">
        <f>+VLOOKUP($AJ473,Data_Validation!$A:$D,3,0)</f>
        <v>#N/A</v>
      </c>
      <c r="AQ473" s="487" t="e">
        <f>+VLOOKUP($AJ473,Data_Validation!$A:$D,4,0)</f>
        <v>#N/A</v>
      </c>
      <c r="AR473" s="487" t="s">
        <v>299</v>
      </c>
      <c r="AS473" s="487" t="e">
        <f>+VLOOKUP($AJ473,Data_Validation!$A:$E,5,0)</f>
        <v>#N/A</v>
      </c>
      <c r="AT473" s="904">
        <f t="shared" si="30"/>
        <v>0</v>
      </c>
      <c r="AU473" s="488">
        <f t="shared" si="30"/>
        <v>0</v>
      </c>
      <c r="AV473" s="899">
        <f>IFERROR(INDEX(V473:AG473,1,MATCH(Parametres!$B$3,V$1:AG$1,0)-1)*IF(OR(C473="L",C473="S",C473="I"),-1,1),"")</f>
        <v>0</v>
      </c>
      <c r="AW473" s="899">
        <f t="shared" si="31"/>
        <v>0</v>
      </c>
      <c r="AX473" s="899">
        <f>INDEX(V473:AG473,1,MATCH(Parametres!$B$3,V$1:AG$1,0))*IF(OR(C473="L",C473="S",C473="I"),-1,1)</f>
        <v>0</v>
      </c>
      <c r="AY473" s="487" t="s">
        <v>337</v>
      </c>
      <c r="AZ473" s="487" t="e">
        <f>+VLOOKUP($AJ473,Data_Validation!$A:$E,5,0)</f>
        <v>#N/A</v>
      </c>
    </row>
    <row r="474" spans="36:52" ht="15" customHeight="1">
      <c r="AJ474" s="899">
        <f t="shared" si="32"/>
        <v>0</v>
      </c>
      <c r="AK474" s="899">
        <f t="shared" si="32"/>
        <v>0</v>
      </c>
      <c r="AL474" s="905">
        <f>IFERROR(INDEX(G474:R474,1,MATCH(Parametres!$B$3,G$1:R$1,0)-1)*IF(OR(F474="L",F474="S",F474="I"),-1,1),"")</f>
        <v>0</v>
      </c>
      <c r="AM474" s="905">
        <f t="shared" si="29"/>
        <v>0</v>
      </c>
      <c r="AN474" s="905">
        <f>INDEX(G474:R474,1,MATCH(Parametres!$B$3,G$1:R$1,0))*IF(OR(F474="L",F474="S",F474="I"),-1,1)</f>
        <v>0</v>
      </c>
      <c r="AO474" s="487" t="e">
        <f>+VLOOKUP($AJ474,Data_Validation!$A:$D,1,0)</f>
        <v>#N/A</v>
      </c>
      <c r="AP474" s="487" t="e">
        <f>+VLOOKUP($AJ474,Data_Validation!$A:$D,3,0)</f>
        <v>#N/A</v>
      </c>
      <c r="AQ474" s="487" t="e">
        <f>+VLOOKUP($AJ474,Data_Validation!$A:$D,4,0)</f>
        <v>#N/A</v>
      </c>
      <c r="AR474" s="487" t="s">
        <v>299</v>
      </c>
      <c r="AS474" s="487" t="e">
        <f>+VLOOKUP($AJ474,Data_Validation!$A:$E,5,0)</f>
        <v>#N/A</v>
      </c>
      <c r="AT474" s="904">
        <f t="shared" si="30"/>
        <v>0</v>
      </c>
      <c r="AU474" s="488">
        <f t="shared" si="30"/>
        <v>0</v>
      </c>
      <c r="AV474" s="899">
        <f>IFERROR(INDEX(V474:AG474,1,MATCH(Parametres!$B$3,V$1:AG$1,0)-1)*IF(OR(C474="L",C474="S",C474="I"),-1,1),"")</f>
        <v>0</v>
      </c>
      <c r="AW474" s="899">
        <f t="shared" si="31"/>
        <v>0</v>
      </c>
      <c r="AX474" s="899">
        <f>INDEX(V474:AG474,1,MATCH(Parametres!$B$3,V$1:AG$1,0))*IF(OR(C474="L",C474="S",C474="I"),-1,1)</f>
        <v>0</v>
      </c>
      <c r="AY474" s="487" t="s">
        <v>337</v>
      </c>
      <c r="AZ474" s="487" t="e">
        <f>+VLOOKUP($AJ474,Data_Validation!$A:$E,5,0)</f>
        <v>#N/A</v>
      </c>
    </row>
    <row r="475" spans="36:52" ht="15" customHeight="1">
      <c r="AJ475" s="899">
        <f t="shared" si="32"/>
        <v>0</v>
      </c>
      <c r="AK475" s="899">
        <f t="shared" si="32"/>
        <v>0</v>
      </c>
      <c r="AL475" s="905">
        <f>IFERROR(INDEX(G475:R475,1,MATCH(Parametres!$B$3,G$1:R$1,0)-1)*IF(OR(F475="L",F475="S",F475="I"),-1,1),"")</f>
        <v>0</v>
      </c>
      <c r="AM475" s="905">
        <f t="shared" si="29"/>
        <v>0</v>
      </c>
      <c r="AN475" s="905">
        <f>INDEX(G475:R475,1,MATCH(Parametres!$B$3,G$1:R$1,0))*IF(OR(F475="L",F475="S",F475="I"),-1,1)</f>
        <v>0</v>
      </c>
      <c r="AO475" s="487" t="e">
        <f>+VLOOKUP($AJ475,Data_Validation!$A:$D,1,0)</f>
        <v>#N/A</v>
      </c>
      <c r="AP475" s="487" t="e">
        <f>+VLOOKUP($AJ475,Data_Validation!$A:$D,3,0)</f>
        <v>#N/A</v>
      </c>
      <c r="AQ475" s="487" t="e">
        <f>+VLOOKUP($AJ475,Data_Validation!$A:$D,4,0)</f>
        <v>#N/A</v>
      </c>
      <c r="AR475" s="487" t="s">
        <v>299</v>
      </c>
      <c r="AS475" s="487" t="e">
        <f>+VLOOKUP($AJ475,Data_Validation!$A:$E,5,0)</f>
        <v>#N/A</v>
      </c>
      <c r="AT475" s="904">
        <f t="shared" si="30"/>
        <v>0</v>
      </c>
      <c r="AU475" s="488">
        <f t="shared" si="30"/>
        <v>0</v>
      </c>
      <c r="AV475" s="899">
        <f>IFERROR(INDEX(V475:AG475,1,MATCH(Parametres!$B$3,V$1:AG$1,0)-1)*IF(OR(C475="L",C475="S",C475="I"),-1,1),"")</f>
        <v>0</v>
      </c>
      <c r="AW475" s="899">
        <f t="shared" si="31"/>
        <v>0</v>
      </c>
      <c r="AX475" s="899">
        <f>INDEX(V475:AG475,1,MATCH(Parametres!$B$3,V$1:AG$1,0))*IF(OR(C475="L",C475="S",C475="I"),-1,1)</f>
        <v>0</v>
      </c>
      <c r="AY475" s="487" t="s">
        <v>337</v>
      </c>
      <c r="AZ475" s="487" t="e">
        <f>+VLOOKUP($AJ475,Data_Validation!$A:$E,5,0)</f>
        <v>#N/A</v>
      </c>
    </row>
    <row r="476" spans="36:52" ht="15" customHeight="1">
      <c r="AJ476" s="899">
        <f t="shared" si="32"/>
        <v>0</v>
      </c>
      <c r="AK476" s="899">
        <f t="shared" si="32"/>
        <v>0</v>
      </c>
      <c r="AL476" s="905">
        <f>IFERROR(INDEX(G476:R476,1,MATCH(Parametres!$B$3,G$1:R$1,0)-1)*IF(OR(F476="L",F476="S",F476="I"),-1,1),"")</f>
        <v>0</v>
      </c>
      <c r="AM476" s="905">
        <f t="shared" si="29"/>
        <v>0</v>
      </c>
      <c r="AN476" s="905">
        <f>INDEX(G476:R476,1,MATCH(Parametres!$B$3,G$1:R$1,0))*IF(OR(F476="L",F476="S",F476="I"),-1,1)</f>
        <v>0</v>
      </c>
      <c r="AO476" s="487" t="e">
        <f>+VLOOKUP($AJ476,Data_Validation!$A:$D,1,0)</f>
        <v>#N/A</v>
      </c>
      <c r="AP476" s="487" t="e">
        <f>+VLOOKUP($AJ476,Data_Validation!$A:$D,3,0)</f>
        <v>#N/A</v>
      </c>
      <c r="AQ476" s="487" t="e">
        <f>+VLOOKUP($AJ476,Data_Validation!$A:$D,4,0)</f>
        <v>#N/A</v>
      </c>
      <c r="AR476" s="487" t="s">
        <v>299</v>
      </c>
      <c r="AS476" s="487" t="e">
        <f>+VLOOKUP($AJ476,Data_Validation!$A:$E,5,0)</f>
        <v>#N/A</v>
      </c>
      <c r="AT476" s="904">
        <f t="shared" si="30"/>
        <v>0</v>
      </c>
      <c r="AU476" s="488">
        <f t="shared" si="30"/>
        <v>0</v>
      </c>
      <c r="AV476" s="899">
        <f>IFERROR(INDEX(V476:AG476,1,MATCH(Parametres!$B$3,V$1:AG$1,0)-1)*IF(OR(C476="L",C476="S",C476="I"),-1,1),"")</f>
        <v>0</v>
      </c>
      <c r="AW476" s="899">
        <f t="shared" si="31"/>
        <v>0</v>
      </c>
      <c r="AX476" s="899">
        <f>INDEX(V476:AG476,1,MATCH(Parametres!$B$3,V$1:AG$1,0))*IF(OR(C476="L",C476="S",C476="I"),-1,1)</f>
        <v>0</v>
      </c>
      <c r="AY476" s="487" t="s">
        <v>337</v>
      </c>
      <c r="AZ476" s="487" t="e">
        <f>+VLOOKUP($AJ476,Data_Validation!$A:$E,5,0)</f>
        <v>#N/A</v>
      </c>
    </row>
    <row r="477" spans="36:52" ht="15" customHeight="1">
      <c r="AJ477" s="899">
        <f t="shared" si="32"/>
        <v>0</v>
      </c>
      <c r="AK477" s="899">
        <f t="shared" si="32"/>
        <v>0</v>
      </c>
      <c r="AL477" s="905">
        <f>IFERROR(INDEX(G477:R477,1,MATCH(Parametres!$B$3,G$1:R$1,0)-1)*IF(OR(F477="L",F477="S",F477="I"),-1,1),"")</f>
        <v>0</v>
      </c>
      <c r="AM477" s="905">
        <f t="shared" si="29"/>
        <v>0</v>
      </c>
      <c r="AN477" s="905">
        <f>INDEX(G477:R477,1,MATCH(Parametres!$B$3,G$1:R$1,0))*IF(OR(F477="L",F477="S",F477="I"),-1,1)</f>
        <v>0</v>
      </c>
      <c r="AO477" s="487" t="e">
        <f>+VLOOKUP($AJ477,Data_Validation!$A:$D,1,0)</f>
        <v>#N/A</v>
      </c>
      <c r="AP477" s="487" t="e">
        <f>+VLOOKUP($AJ477,Data_Validation!$A:$D,3,0)</f>
        <v>#N/A</v>
      </c>
      <c r="AQ477" s="487" t="e">
        <f>+VLOOKUP($AJ477,Data_Validation!$A:$D,4,0)</f>
        <v>#N/A</v>
      </c>
      <c r="AR477" s="487" t="s">
        <v>299</v>
      </c>
      <c r="AS477" s="487" t="e">
        <f>+VLOOKUP($AJ477,Data_Validation!$A:$E,5,0)</f>
        <v>#N/A</v>
      </c>
      <c r="AT477" s="904">
        <f t="shared" si="30"/>
        <v>0</v>
      </c>
      <c r="AU477" s="488">
        <f t="shared" si="30"/>
        <v>0</v>
      </c>
      <c r="AV477" s="899">
        <f>IFERROR(INDEX(V477:AG477,1,MATCH(Parametres!$B$3,V$1:AG$1,0)-1)*IF(OR(C477="L",C477="S",C477="I"),-1,1),"")</f>
        <v>0</v>
      </c>
      <c r="AW477" s="899">
        <f t="shared" si="31"/>
        <v>0</v>
      </c>
      <c r="AX477" s="899">
        <f>INDEX(V477:AG477,1,MATCH(Parametres!$B$3,V$1:AG$1,0))*IF(OR(C477="L",C477="S",C477="I"),-1,1)</f>
        <v>0</v>
      </c>
      <c r="AY477" s="487" t="s">
        <v>337</v>
      </c>
      <c r="AZ477" s="487" t="e">
        <f>+VLOOKUP($AJ477,Data_Validation!$A:$E,5,0)</f>
        <v>#N/A</v>
      </c>
    </row>
    <row r="478" spans="36:52" ht="15" customHeight="1">
      <c r="AJ478" s="899">
        <f t="shared" si="32"/>
        <v>0</v>
      </c>
      <c r="AK478" s="899">
        <f t="shared" si="32"/>
        <v>0</v>
      </c>
      <c r="AL478" s="905">
        <f>IFERROR(INDEX(G478:R478,1,MATCH(Parametres!$B$3,G$1:R$1,0)-1)*IF(OR(F478="L",F478="S",F478="I"),-1,1),"")</f>
        <v>0</v>
      </c>
      <c r="AM478" s="905">
        <f t="shared" si="29"/>
        <v>0</v>
      </c>
      <c r="AN478" s="905">
        <f>INDEX(G478:R478,1,MATCH(Parametres!$B$3,G$1:R$1,0))*IF(OR(F478="L",F478="S",F478="I"),-1,1)</f>
        <v>0</v>
      </c>
      <c r="AO478" s="487" t="e">
        <f>+VLOOKUP($AJ478,Data_Validation!$A:$D,1,0)</f>
        <v>#N/A</v>
      </c>
      <c r="AP478" s="487" t="e">
        <f>+VLOOKUP($AJ478,Data_Validation!$A:$D,3,0)</f>
        <v>#N/A</v>
      </c>
      <c r="AQ478" s="487" t="e">
        <f>+VLOOKUP($AJ478,Data_Validation!$A:$D,4,0)</f>
        <v>#N/A</v>
      </c>
      <c r="AR478" s="487" t="s">
        <v>299</v>
      </c>
      <c r="AS478" s="487" t="e">
        <f>+VLOOKUP($AJ478,Data_Validation!$A:$E,5,0)</f>
        <v>#N/A</v>
      </c>
      <c r="AT478" s="904">
        <f t="shared" si="30"/>
        <v>0</v>
      </c>
      <c r="AU478" s="488">
        <f t="shared" si="30"/>
        <v>0</v>
      </c>
      <c r="AV478" s="899">
        <f>IFERROR(INDEX(V478:AG478,1,MATCH(Parametres!$B$3,V$1:AG$1,0)-1)*IF(OR(C478="L",C478="S",C478="I"),-1,1),"")</f>
        <v>0</v>
      </c>
      <c r="AW478" s="899">
        <f t="shared" si="31"/>
        <v>0</v>
      </c>
      <c r="AX478" s="899">
        <f>INDEX(V478:AG478,1,MATCH(Parametres!$B$3,V$1:AG$1,0))*IF(OR(C478="L",C478="S",C478="I"),-1,1)</f>
        <v>0</v>
      </c>
      <c r="AY478" s="487" t="s">
        <v>337</v>
      </c>
      <c r="AZ478" s="487" t="e">
        <f>+VLOOKUP($AJ478,Data_Validation!$A:$E,5,0)</f>
        <v>#N/A</v>
      </c>
    </row>
    <row r="479" spans="36:52" ht="15" customHeight="1">
      <c r="AJ479" s="899">
        <f t="shared" si="32"/>
        <v>0</v>
      </c>
      <c r="AK479" s="899">
        <f t="shared" si="32"/>
        <v>0</v>
      </c>
      <c r="AL479" s="905">
        <f>IFERROR(INDEX(G479:R479,1,MATCH(Parametres!$B$3,G$1:R$1,0)-1)*IF(OR(F479="L",F479="S",F479="I"),-1,1),"")</f>
        <v>0</v>
      </c>
      <c r="AM479" s="905">
        <f t="shared" si="29"/>
        <v>0</v>
      </c>
      <c r="AN479" s="905">
        <f>INDEX(G479:R479,1,MATCH(Parametres!$B$3,G$1:R$1,0))*IF(OR(F479="L",F479="S",F479="I"),-1,1)</f>
        <v>0</v>
      </c>
      <c r="AO479" s="487" t="e">
        <f>+VLOOKUP($AJ479,Data_Validation!$A:$D,1,0)</f>
        <v>#N/A</v>
      </c>
      <c r="AP479" s="487" t="e">
        <f>+VLOOKUP($AJ479,Data_Validation!$A:$D,3,0)</f>
        <v>#N/A</v>
      </c>
      <c r="AQ479" s="487" t="e">
        <f>+VLOOKUP($AJ479,Data_Validation!$A:$D,4,0)</f>
        <v>#N/A</v>
      </c>
      <c r="AR479" s="487" t="s">
        <v>299</v>
      </c>
      <c r="AS479" s="487" t="e">
        <f>+VLOOKUP($AJ479,Data_Validation!$A:$E,5,0)</f>
        <v>#N/A</v>
      </c>
      <c r="AT479" s="904">
        <f t="shared" si="30"/>
        <v>0</v>
      </c>
      <c r="AU479" s="488">
        <f t="shared" si="30"/>
        <v>0</v>
      </c>
      <c r="AV479" s="899">
        <f>IFERROR(INDEX(V479:AG479,1,MATCH(Parametres!$B$3,V$1:AG$1,0)-1)*IF(OR(C479="L",C479="S",C479="I"),-1,1),"")</f>
        <v>0</v>
      </c>
      <c r="AW479" s="899">
        <f t="shared" si="31"/>
        <v>0</v>
      </c>
      <c r="AX479" s="899">
        <f>INDEX(V479:AG479,1,MATCH(Parametres!$B$3,V$1:AG$1,0))*IF(OR(C479="L",C479="S",C479="I"),-1,1)</f>
        <v>0</v>
      </c>
      <c r="AY479" s="487" t="s">
        <v>337</v>
      </c>
      <c r="AZ479" s="487" t="e">
        <f>+VLOOKUP($AJ479,Data_Validation!$A:$E,5,0)</f>
        <v>#N/A</v>
      </c>
    </row>
    <row r="480" spans="36:52" ht="15" customHeight="1">
      <c r="AJ480" s="899">
        <f t="shared" si="32"/>
        <v>0</v>
      </c>
      <c r="AK480" s="899">
        <f t="shared" si="32"/>
        <v>0</v>
      </c>
      <c r="AL480" s="905">
        <f>IFERROR(INDEX(G480:R480,1,MATCH(Parametres!$B$3,G$1:R$1,0)-1)*IF(OR(F480="L",F480="S",F480="I"),-1,1),"")</f>
        <v>0</v>
      </c>
      <c r="AM480" s="905">
        <f t="shared" si="29"/>
        <v>0</v>
      </c>
      <c r="AN480" s="905">
        <f>INDEX(G480:R480,1,MATCH(Parametres!$B$3,G$1:R$1,0))*IF(OR(F480="L",F480="S",F480="I"),-1,1)</f>
        <v>0</v>
      </c>
      <c r="AO480" s="487" t="e">
        <f>+VLOOKUP($AJ480,Data_Validation!$A:$D,1,0)</f>
        <v>#N/A</v>
      </c>
      <c r="AP480" s="487" t="e">
        <f>+VLOOKUP($AJ480,Data_Validation!$A:$D,3,0)</f>
        <v>#N/A</v>
      </c>
      <c r="AQ480" s="487" t="e">
        <f>+VLOOKUP($AJ480,Data_Validation!$A:$D,4,0)</f>
        <v>#N/A</v>
      </c>
      <c r="AR480" s="487" t="s">
        <v>299</v>
      </c>
      <c r="AS480" s="487" t="e">
        <f>+VLOOKUP($AJ480,Data_Validation!$A:$E,5,0)</f>
        <v>#N/A</v>
      </c>
      <c r="AT480" s="904">
        <f t="shared" si="30"/>
        <v>0</v>
      </c>
      <c r="AU480" s="488">
        <f t="shared" si="30"/>
        <v>0</v>
      </c>
      <c r="AV480" s="899">
        <f>IFERROR(INDEX(V480:AG480,1,MATCH(Parametres!$B$3,V$1:AG$1,0)-1)*IF(OR(C480="L",C480="S",C480="I"),-1,1),"")</f>
        <v>0</v>
      </c>
      <c r="AW480" s="899">
        <f t="shared" si="31"/>
        <v>0</v>
      </c>
      <c r="AX480" s="899">
        <f>INDEX(V480:AG480,1,MATCH(Parametres!$B$3,V$1:AG$1,0))*IF(OR(C480="L",C480="S",C480="I"),-1,1)</f>
        <v>0</v>
      </c>
      <c r="AY480" s="487" t="s">
        <v>337</v>
      </c>
      <c r="AZ480" s="487" t="e">
        <f>+VLOOKUP($AJ480,Data_Validation!$A:$E,5,0)</f>
        <v>#N/A</v>
      </c>
    </row>
    <row r="481" spans="36:52" ht="15" customHeight="1">
      <c r="AJ481" s="899">
        <f t="shared" si="32"/>
        <v>0</v>
      </c>
      <c r="AK481" s="899">
        <f t="shared" si="32"/>
        <v>0</v>
      </c>
      <c r="AL481" s="905">
        <f>IFERROR(INDEX(G481:R481,1,MATCH(Parametres!$B$3,G$1:R$1,0)-1)*IF(OR(F481="L",F481="S",F481="I"),-1,1),"")</f>
        <v>0</v>
      </c>
      <c r="AM481" s="905">
        <f t="shared" si="29"/>
        <v>0</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f t="shared" si="30"/>
        <v>0</v>
      </c>
      <c r="AU481" s="488">
        <f t="shared" si="30"/>
        <v>0</v>
      </c>
      <c r="AV481" s="899">
        <f>IFERROR(INDEX(V481:AG481,1,MATCH(Parametres!$B$3,V$1:AG$1,0)-1)*IF(OR(C481="L",C481="S",C481="I"),-1,1),"")</f>
        <v>0</v>
      </c>
      <c r="AW481" s="899">
        <f t="shared" si="31"/>
        <v>0</v>
      </c>
      <c r="AX481" s="899">
        <f>INDEX(V481:AG481,1,MATCH(Parametres!$B$3,V$1:AG$1,0))*IF(OR(C481="L",C481="S",C481="I"),-1,1)</f>
        <v>0</v>
      </c>
      <c r="AY481" s="487" t="s">
        <v>337</v>
      </c>
      <c r="AZ481" s="487" t="e">
        <f>+VLOOKUP($AJ481,Data_Validation!$A:$E,5,0)</f>
        <v>#N/A</v>
      </c>
    </row>
    <row r="482" spans="36:52" ht="15" customHeight="1">
      <c r="AJ482" s="899">
        <f t="shared" si="32"/>
        <v>0</v>
      </c>
      <c r="AK482" s="899">
        <f t="shared" si="32"/>
        <v>0</v>
      </c>
      <c r="AL482" s="905">
        <f>IFERROR(INDEX(G482:R482,1,MATCH(Parametres!$B$3,G$1:R$1,0)-1)*IF(OR(F482="L",F482="S",F482="I"),-1,1),"")</f>
        <v>0</v>
      </c>
      <c r="AM482" s="905">
        <f t="shared" si="29"/>
        <v>0</v>
      </c>
      <c r="AN482" s="905">
        <f>INDEX(G482:R482,1,MATCH(Parametres!$B$3,G$1:R$1,0))*IF(OR(F482="L",F482="S",F482="I"),-1,1)</f>
        <v>0</v>
      </c>
      <c r="AO482" s="487" t="e">
        <f>+VLOOKUP($AJ482,Data_Validation!$A:$D,1,0)</f>
        <v>#N/A</v>
      </c>
      <c r="AP482" s="487" t="e">
        <f>+VLOOKUP($AJ482,Data_Validation!$A:$D,3,0)</f>
        <v>#N/A</v>
      </c>
      <c r="AQ482" s="487" t="e">
        <f>+VLOOKUP($AJ482,Data_Validation!$A:$D,4,0)</f>
        <v>#N/A</v>
      </c>
      <c r="AR482" s="487" t="s">
        <v>299</v>
      </c>
      <c r="AS482" s="487" t="e">
        <f>+VLOOKUP($AJ482,Data_Validation!$A:$E,5,0)</f>
        <v>#N/A</v>
      </c>
      <c r="AT482" s="904">
        <f t="shared" si="30"/>
        <v>0</v>
      </c>
      <c r="AU482" s="488">
        <f t="shared" si="30"/>
        <v>0</v>
      </c>
      <c r="AV482" s="899">
        <f>IFERROR(INDEX(V482:AG482,1,MATCH(Parametres!$B$3,V$1:AG$1,0)-1)*IF(OR(C482="L",C482="S",C482="I"),-1,1),"")</f>
        <v>0</v>
      </c>
      <c r="AW482" s="899">
        <f t="shared" si="31"/>
        <v>0</v>
      </c>
      <c r="AX482" s="899">
        <f>INDEX(V482:AG482,1,MATCH(Parametres!$B$3,V$1:AG$1,0))*IF(OR(C482="L",C482="S",C482="I"),-1,1)</f>
        <v>0</v>
      </c>
      <c r="AY482" s="487" t="s">
        <v>337</v>
      </c>
      <c r="AZ482" s="487" t="e">
        <f>+VLOOKUP($AJ482,Data_Validation!$A:$E,5,0)</f>
        <v>#N/A</v>
      </c>
    </row>
    <row r="483" spans="36:52" ht="15" customHeight="1">
      <c r="AJ483" s="899">
        <f t="shared" si="32"/>
        <v>0</v>
      </c>
      <c r="AK483" s="899">
        <f t="shared" si="32"/>
        <v>0</v>
      </c>
      <c r="AL483" s="905">
        <f>IFERROR(INDEX(G483:R483,1,MATCH(Parametres!$B$3,G$1:R$1,0)-1)*IF(OR(F483="L",F483="S",F483="I"),-1,1),"")</f>
        <v>0</v>
      </c>
      <c r="AM483" s="905">
        <f t="shared" si="29"/>
        <v>0</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f t="shared" si="30"/>
        <v>0</v>
      </c>
      <c r="AU483" s="488">
        <f t="shared" si="30"/>
        <v>0</v>
      </c>
      <c r="AV483" s="899">
        <f>IFERROR(INDEX(V483:AG483,1,MATCH(Parametres!$B$3,V$1:AG$1,0)-1)*IF(OR(C483="L",C483="S",C483="I"),-1,1),"")</f>
        <v>0</v>
      </c>
      <c r="AW483" s="899">
        <f t="shared" si="31"/>
        <v>0</v>
      </c>
      <c r="AX483" s="899">
        <f>INDEX(V483:AG483,1,MATCH(Parametres!$B$3,V$1:AG$1,0))*IF(OR(C483="L",C483="S",C483="I"),-1,1)</f>
        <v>0</v>
      </c>
      <c r="AY483" s="487" t="s">
        <v>337</v>
      </c>
      <c r="AZ483" s="487" t="e">
        <f>+VLOOKUP($AJ483,Data_Validation!$A:$E,5,0)</f>
        <v>#N/A</v>
      </c>
    </row>
    <row r="484" spans="36:52" ht="15" customHeight="1">
      <c r="AJ484" s="899">
        <f t="shared" si="32"/>
        <v>0</v>
      </c>
      <c r="AK484" s="899">
        <f t="shared" si="32"/>
        <v>0</v>
      </c>
      <c r="AL484" s="905">
        <f>IFERROR(INDEX(G484:R484,1,MATCH(Parametres!$B$3,G$1:R$1,0)-1)*IF(OR(F484="L",F484="S",F484="I"),-1,1),"")</f>
        <v>0</v>
      </c>
      <c r="AM484" s="905">
        <f t="shared" si="29"/>
        <v>0</v>
      </c>
      <c r="AN484" s="905">
        <f>INDEX(G484:R484,1,MATCH(Parametres!$B$3,G$1:R$1,0))*IF(OR(F484="L",F484="S",F484="I"),-1,1)</f>
        <v>0</v>
      </c>
      <c r="AO484" s="487" t="e">
        <f>+VLOOKUP($AJ484,Data_Validation!$A:$D,1,0)</f>
        <v>#N/A</v>
      </c>
      <c r="AP484" s="487" t="e">
        <f>+VLOOKUP($AJ484,Data_Validation!$A:$D,3,0)</f>
        <v>#N/A</v>
      </c>
      <c r="AQ484" s="487" t="e">
        <f>+VLOOKUP($AJ484,Data_Validation!$A:$D,4,0)</f>
        <v>#N/A</v>
      </c>
      <c r="AR484" s="487" t="s">
        <v>299</v>
      </c>
      <c r="AS484" s="487" t="e">
        <f>+VLOOKUP($AJ484,Data_Validation!$A:$E,5,0)</f>
        <v>#N/A</v>
      </c>
      <c r="AT484" s="904">
        <f t="shared" si="30"/>
        <v>0</v>
      </c>
      <c r="AU484" s="488">
        <f t="shared" si="30"/>
        <v>0</v>
      </c>
      <c r="AV484" s="899">
        <f>IFERROR(INDEX(V484:AG484,1,MATCH(Parametres!$B$3,V$1:AG$1,0)-1)*IF(OR(C484="L",C484="S",C484="I"),-1,1),"")</f>
        <v>0</v>
      </c>
      <c r="AW484" s="899">
        <f t="shared" si="31"/>
        <v>0</v>
      </c>
      <c r="AX484" s="899">
        <f>INDEX(V484:AG484,1,MATCH(Parametres!$B$3,V$1:AG$1,0))*IF(OR(C484="L",C484="S",C484="I"),-1,1)</f>
        <v>0</v>
      </c>
      <c r="AY484" s="487" t="s">
        <v>337</v>
      </c>
      <c r="AZ484" s="487" t="e">
        <f>+VLOOKUP($AJ484,Data_Validation!$A:$E,5,0)</f>
        <v>#N/A</v>
      </c>
    </row>
    <row r="485" spans="36:52" ht="15" customHeight="1">
      <c r="AJ485" s="899">
        <f t="shared" si="32"/>
        <v>0</v>
      </c>
      <c r="AK485" s="899">
        <f t="shared" si="32"/>
        <v>0</v>
      </c>
      <c r="AL485" s="905">
        <f>IFERROR(INDEX(G485:R485,1,MATCH(Parametres!$B$3,G$1:R$1,0)-1)*IF(OR(F485="L",F485="S",F485="I"),-1,1),"")</f>
        <v>0</v>
      </c>
      <c r="AM485" s="905">
        <f t="shared" si="29"/>
        <v>0</v>
      </c>
      <c r="AN485" s="905">
        <f>INDEX(G485:R485,1,MATCH(Parametres!$B$3,G$1:R$1,0))*IF(OR(F485="L",F485="S",F485="I"),-1,1)</f>
        <v>0</v>
      </c>
      <c r="AO485" s="487" t="e">
        <f>+VLOOKUP($AJ485,Data_Validation!$A:$D,1,0)</f>
        <v>#N/A</v>
      </c>
      <c r="AP485" s="487" t="e">
        <f>+VLOOKUP($AJ485,Data_Validation!$A:$D,3,0)</f>
        <v>#N/A</v>
      </c>
      <c r="AQ485" s="487" t="e">
        <f>+VLOOKUP($AJ485,Data_Validation!$A:$D,4,0)</f>
        <v>#N/A</v>
      </c>
      <c r="AR485" s="487" t="s">
        <v>299</v>
      </c>
      <c r="AS485" s="487" t="e">
        <f>+VLOOKUP($AJ485,Data_Validation!$A:$E,5,0)</f>
        <v>#N/A</v>
      </c>
      <c r="AT485" s="904">
        <f t="shared" si="30"/>
        <v>0</v>
      </c>
      <c r="AU485" s="488">
        <f t="shared" si="30"/>
        <v>0</v>
      </c>
      <c r="AV485" s="899">
        <f>IFERROR(INDEX(V485:AG485,1,MATCH(Parametres!$B$3,V$1:AG$1,0)-1)*IF(OR(C485="L",C485="S",C485="I"),-1,1),"")</f>
        <v>0</v>
      </c>
      <c r="AW485" s="899">
        <f t="shared" si="31"/>
        <v>0</v>
      </c>
      <c r="AX485" s="899">
        <f>INDEX(V485:AG485,1,MATCH(Parametres!$B$3,V$1:AG$1,0))*IF(OR(C485="L",C485="S",C485="I"),-1,1)</f>
        <v>0</v>
      </c>
      <c r="AY485" s="487" t="s">
        <v>337</v>
      </c>
      <c r="AZ485" s="487" t="e">
        <f>+VLOOKUP($AJ485,Data_Validation!$A:$E,5,0)</f>
        <v>#N/A</v>
      </c>
    </row>
    <row r="486" spans="36:52" ht="15" customHeight="1">
      <c r="AJ486" s="899">
        <f t="shared" si="32"/>
        <v>0</v>
      </c>
      <c r="AK486" s="899">
        <f t="shared" si="32"/>
        <v>0</v>
      </c>
      <c r="AL486" s="905">
        <f>IFERROR(INDEX(G486:R486,1,MATCH(Parametres!$B$3,G$1:R$1,0)-1)*IF(OR(F486="L",F486="S",F486="I"),-1,1),"")</f>
        <v>0</v>
      </c>
      <c r="AM486" s="905">
        <f t="shared" si="29"/>
        <v>0</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f t="shared" si="30"/>
        <v>0</v>
      </c>
      <c r="AU486" s="488">
        <f t="shared" si="30"/>
        <v>0</v>
      </c>
      <c r="AV486" s="899">
        <f>IFERROR(INDEX(V486:AG486,1,MATCH(Parametres!$B$3,V$1:AG$1,0)-1)*IF(OR(C486="L",C486="S",C486="I"),-1,1),"")</f>
        <v>0</v>
      </c>
      <c r="AW486" s="899">
        <f t="shared" si="31"/>
        <v>0</v>
      </c>
      <c r="AX486" s="899">
        <f>INDEX(V486:AG486,1,MATCH(Parametres!$B$3,V$1:AG$1,0))*IF(OR(C486="L",C486="S",C486="I"),-1,1)</f>
        <v>0</v>
      </c>
      <c r="AY486" s="487" t="s">
        <v>337</v>
      </c>
      <c r="AZ486" s="487" t="e">
        <f>+VLOOKUP($AJ486,Data_Validation!$A:$E,5,0)</f>
        <v>#N/A</v>
      </c>
    </row>
    <row r="487" spans="36:52" ht="15" customHeight="1">
      <c r="AJ487" s="899">
        <f t="shared" si="32"/>
        <v>0</v>
      </c>
      <c r="AK487" s="899">
        <f t="shared" si="32"/>
        <v>0</v>
      </c>
      <c r="AL487" s="905">
        <f>IFERROR(INDEX(G487:R487,1,MATCH(Parametres!$B$3,G$1:R$1,0)-1)*IF(OR(F487="L",F487="S",F487="I"),-1,1),"")</f>
        <v>0</v>
      </c>
      <c r="AM487" s="905">
        <f t="shared" si="29"/>
        <v>0</v>
      </c>
      <c r="AN487" s="905">
        <f>INDEX(G487:R487,1,MATCH(Parametres!$B$3,G$1:R$1,0))*IF(OR(F487="L",F487="S",F487="I"),-1,1)</f>
        <v>0</v>
      </c>
      <c r="AO487" s="487" t="e">
        <f>+VLOOKUP($AJ487,Data_Validation!$A:$D,1,0)</f>
        <v>#N/A</v>
      </c>
      <c r="AP487" s="487" t="e">
        <f>+VLOOKUP($AJ487,Data_Validation!$A:$D,3,0)</f>
        <v>#N/A</v>
      </c>
      <c r="AQ487" s="487" t="e">
        <f>+VLOOKUP($AJ487,Data_Validation!$A:$D,4,0)</f>
        <v>#N/A</v>
      </c>
      <c r="AR487" s="487" t="s">
        <v>299</v>
      </c>
      <c r="AS487" s="487" t="e">
        <f>+VLOOKUP($AJ487,Data_Validation!$A:$E,5,0)</f>
        <v>#N/A</v>
      </c>
      <c r="AT487" s="904">
        <f t="shared" si="30"/>
        <v>0</v>
      </c>
      <c r="AU487" s="488">
        <f t="shared" si="30"/>
        <v>0</v>
      </c>
      <c r="AV487" s="899">
        <f>IFERROR(INDEX(V487:AG487,1,MATCH(Parametres!$B$3,V$1:AG$1,0)-1)*IF(OR(C487="L",C487="S",C487="I"),-1,1),"")</f>
        <v>0</v>
      </c>
      <c r="AW487" s="899">
        <f t="shared" si="31"/>
        <v>0</v>
      </c>
      <c r="AX487" s="899">
        <f>INDEX(V487:AG487,1,MATCH(Parametres!$B$3,V$1:AG$1,0))*IF(OR(C487="L",C487="S",C487="I"),-1,1)</f>
        <v>0</v>
      </c>
      <c r="AY487" s="487" t="s">
        <v>337</v>
      </c>
      <c r="AZ487" s="487" t="e">
        <f>+VLOOKUP($AJ487,Data_Validation!$A:$E,5,0)</f>
        <v>#N/A</v>
      </c>
    </row>
    <row r="488" spans="36:52" ht="15" customHeight="1">
      <c r="AJ488" s="899">
        <f t="shared" si="32"/>
        <v>0</v>
      </c>
      <c r="AK488" s="899">
        <f t="shared" si="32"/>
        <v>0</v>
      </c>
      <c r="AL488" s="905">
        <f>IFERROR(INDEX(G488:R488,1,MATCH(Parametres!$B$3,G$1:R$1,0)-1)*IF(OR(F488="L",F488="S",F488="I"),-1,1),"")</f>
        <v>0</v>
      </c>
      <c r="AM488" s="905">
        <f t="shared" si="29"/>
        <v>0</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f t="shared" si="30"/>
        <v>0</v>
      </c>
      <c r="AU488" s="488">
        <f t="shared" si="30"/>
        <v>0</v>
      </c>
      <c r="AV488" s="899">
        <f>IFERROR(INDEX(V488:AG488,1,MATCH(Parametres!$B$3,V$1:AG$1,0)-1)*IF(OR(C488="L",C488="S",C488="I"),-1,1),"")</f>
        <v>0</v>
      </c>
      <c r="AW488" s="899">
        <f t="shared" si="31"/>
        <v>0</v>
      </c>
      <c r="AX488" s="899">
        <f>INDEX(V488:AG488,1,MATCH(Parametres!$B$3,V$1:AG$1,0))*IF(OR(C488="L",C488="S",C488="I"),-1,1)</f>
        <v>0</v>
      </c>
      <c r="AY488" s="487" t="s">
        <v>337</v>
      </c>
      <c r="AZ488" s="487" t="e">
        <f>+VLOOKUP($AJ488,Data_Validation!$A:$E,5,0)</f>
        <v>#N/A</v>
      </c>
    </row>
    <row r="489" spans="36:52" ht="15" customHeight="1">
      <c r="AJ489" s="899">
        <f t="shared" si="32"/>
        <v>0</v>
      </c>
      <c r="AK489" s="899">
        <f t="shared" si="32"/>
        <v>0</v>
      </c>
      <c r="AL489" s="905">
        <f>IFERROR(INDEX(G489:R489,1,MATCH(Parametres!$B$3,G$1:R$1,0)-1)*IF(OR(F489="L",F489="S",F489="I"),-1,1),"")</f>
        <v>0</v>
      </c>
      <c r="AM489" s="905">
        <f t="shared" si="29"/>
        <v>0</v>
      </c>
      <c r="AN489" s="905">
        <f>INDEX(G489:R489,1,MATCH(Parametres!$B$3,G$1:R$1,0))*IF(OR(F489="L",F489="S",F489="I"),-1,1)</f>
        <v>0</v>
      </c>
      <c r="AO489" s="487" t="e">
        <f>+VLOOKUP($AJ489,Data_Validation!$A:$D,1,0)</f>
        <v>#N/A</v>
      </c>
      <c r="AP489" s="487" t="e">
        <f>+VLOOKUP($AJ489,Data_Validation!$A:$D,3,0)</f>
        <v>#N/A</v>
      </c>
      <c r="AQ489" s="487" t="e">
        <f>+VLOOKUP($AJ489,Data_Validation!$A:$D,4,0)</f>
        <v>#N/A</v>
      </c>
      <c r="AR489" s="487" t="s">
        <v>299</v>
      </c>
      <c r="AS489" s="487" t="e">
        <f>+VLOOKUP($AJ489,Data_Validation!$A:$E,5,0)</f>
        <v>#N/A</v>
      </c>
      <c r="AT489" s="904">
        <f t="shared" si="30"/>
        <v>0</v>
      </c>
      <c r="AU489" s="488">
        <f t="shared" si="30"/>
        <v>0</v>
      </c>
      <c r="AV489" s="899">
        <f>IFERROR(INDEX(V489:AG489,1,MATCH(Parametres!$B$3,V$1:AG$1,0)-1)*IF(OR(C489="L",C489="S",C489="I"),-1,1),"")</f>
        <v>0</v>
      </c>
      <c r="AW489" s="899">
        <f t="shared" si="31"/>
        <v>0</v>
      </c>
      <c r="AX489" s="899">
        <f>INDEX(V489:AG489,1,MATCH(Parametres!$B$3,V$1:AG$1,0))*IF(OR(C489="L",C489="S",C489="I"),-1,1)</f>
        <v>0</v>
      </c>
      <c r="AY489" s="487" t="s">
        <v>337</v>
      </c>
      <c r="AZ489" s="487" t="e">
        <f>+VLOOKUP($AJ489,Data_Validation!$A:$E,5,0)</f>
        <v>#N/A</v>
      </c>
    </row>
    <row r="490" spans="36:52" ht="15" customHeight="1">
      <c r="AJ490" s="899">
        <f t="shared" si="32"/>
        <v>0</v>
      </c>
      <c r="AK490" s="899">
        <f t="shared" si="32"/>
        <v>0</v>
      </c>
      <c r="AL490" s="905">
        <f>IFERROR(INDEX(G490:R490,1,MATCH(Parametres!$B$3,G$1:R$1,0)-1)*IF(OR(F490="L",F490="S",F490="I"),-1,1),"")</f>
        <v>0</v>
      </c>
      <c r="AM490" s="905">
        <f t="shared" si="29"/>
        <v>0</v>
      </c>
      <c r="AN490" s="905">
        <f>INDEX(G490:R490,1,MATCH(Parametres!$B$3,G$1:R$1,0))*IF(OR(F490="L",F490="S",F490="I"),-1,1)</f>
        <v>0</v>
      </c>
      <c r="AO490" s="487" t="e">
        <f>+VLOOKUP($AJ490,Data_Validation!$A:$D,1,0)</f>
        <v>#N/A</v>
      </c>
      <c r="AP490" s="487" t="e">
        <f>+VLOOKUP($AJ490,Data_Validation!$A:$D,3,0)</f>
        <v>#N/A</v>
      </c>
      <c r="AQ490" s="487" t="e">
        <f>+VLOOKUP($AJ490,Data_Validation!$A:$D,4,0)</f>
        <v>#N/A</v>
      </c>
      <c r="AR490" s="487" t="s">
        <v>299</v>
      </c>
      <c r="AS490" s="487" t="e">
        <f>+VLOOKUP($AJ490,Data_Validation!$A:$E,5,0)</f>
        <v>#N/A</v>
      </c>
      <c r="AT490" s="904">
        <f t="shared" si="30"/>
        <v>0</v>
      </c>
      <c r="AU490" s="488">
        <f t="shared" si="30"/>
        <v>0</v>
      </c>
      <c r="AV490" s="899">
        <f>IFERROR(INDEX(V490:AG490,1,MATCH(Parametres!$B$3,V$1:AG$1,0)-1)*IF(OR(C490="L",C490="S",C490="I"),-1,1),"")</f>
        <v>0</v>
      </c>
      <c r="AW490" s="899">
        <f t="shared" si="31"/>
        <v>0</v>
      </c>
      <c r="AX490" s="899">
        <f>INDEX(V490:AG490,1,MATCH(Parametres!$B$3,V$1:AG$1,0))*IF(OR(C490="L",C490="S",C490="I"),-1,1)</f>
        <v>0</v>
      </c>
      <c r="AY490" s="487" t="s">
        <v>337</v>
      </c>
      <c r="AZ490" s="487" t="e">
        <f>+VLOOKUP($AJ490,Data_Validation!$A:$E,5,0)</f>
        <v>#N/A</v>
      </c>
    </row>
    <row r="491" spans="36:52" ht="15" customHeight="1">
      <c r="AJ491" s="899">
        <f t="shared" si="32"/>
        <v>0</v>
      </c>
      <c r="AK491" s="899">
        <f t="shared" si="32"/>
        <v>0</v>
      </c>
      <c r="AL491" s="905">
        <f>IFERROR(INDEX(G491:R491,1,MATCH(Parametres!$B$3,G$1:R$1,0)-1)*IF(OR(F491="L",F491="S",F491="I"),-1,1),"")</f>
        <v>0</v>
      </c>
      <c r="AM491" s="905">
        <f t="shared" si="29"/>
        <v>0</v>
      </c>
      <c r="AN491" s="905">
        <f>INDEX(G491:R491,1,MATCH(Parametres!$B$3,G$1:R$1,0))*IF(OR(F491="L",F491="S",F491="I"),-1,1)</f>
        <v>0</v>
      </c>
      <c r="AO491" s="487" t="e">
        <f>+VLOOKUP($AJ491,Data_Validation!$A:$D,1,0)</f>
        <v>#N/A</v>
      </c>
      <c r="AP491" s="487" t="e">
        <f>+VLOOKUP($AJ491,Data_Validation!$A:$D,3,0)</f>
        <v>#N/A</v>
      </c>
      <c r="AQ491" s="487" t="e">
        <f>+VLOOKUP($AJ491,Data_Validation!$A:$D,4,0)</f>
        <v>#N/A</v>
      </c>
      <c r="AR491" s="487" t="s">
        <v>299</v>
      </c>
      <c r="AS491" s="487" t="e">
        <f>+VLOOKUP($AJ491,Data_Validation!$A:$E,5,0)</f>
        <v>#N/A</v>
      </c>
      <c r="AT491" s="904">
        <f t="shared" si="30"/>
        <v>0</v>
      </c>
      <c r="AU491" s="488">
        <f t="shared" si="30"/>
        <v>0</v>
      </c>
      <c r="AV491" s="899">
        <f>IFERROR(INDEX(V491:AG491,1,MATCH(Parametres!$B$3,V$1:AG$1,0)-1)*IF(OR(C491="L",C491="S",C491="I"),-1,1),"")</f>
        <v>0</v>
      </c>
      <c r="AW491" s="899">
        <f t="shared" si="31"/>
        <v>0</v>
      </c>
      <c r="AX491" s="899">
        <f>INDEX(V491:AG491,1,MATCH(Parametres!$B$3,V$1:AG$1,0))*IF(OR(C491="L",C491="S",C491="I"),-1,1)</f>
        <v>0</v>
      </c>
      <c r="AY491" s="487" t="s">
        <v>337</v>
      </c>
      <c r="AZ491" s="487" t="e">
        <f>+VLOOKUP($AJ491,Data_Validation!$A:$E,5,0)</f>
        <v>#N/A</v>
      </c>
    </row>
    <row r="492" spans="36:52" ht="15" customHeight="1">
      <c r="AJ492" s="899">
        <f t="shared" si="32"/>
        <v>0</v>
      </c>
      <c r="AK492" s="899">
        <f t="shared" si="32"/>
        <v>0</v>
      </c>
      <c r="AL492" s="905">
        <f>IFERROR(INDEX(G492:R492,1,MATCH(Parametres!$B$3,G$1:R$1,0)-1)*IF(OR(F492="L",F492="S",F492="I"),-1,1),"")</f>
        <v>0</v>
      </c>
      <c r="AM492" s="905">
        <f t="shared" si="29"/>
        <v>0</v>
      </c>
      <c r="AN492" s="905">
        <f>INDEX(G492:R492,1,MATCH(Parametres!$B$3,G$1:R$1,0))*IF(OR(F492="L",F492="S",F492="I"),-1,1)</f>
        <v>0</v>
      </c>
      <c r="AO492" s="487" t="e">
        <f>+VLOOKUP($AJ492,Data_Validation!$A:$D,1,0)</f>
        <v>#N/A</v>
      </c>
      <c r="AP492" s="487" t="e">
        <f>+VLOOKUP($AJ492,Data_Validation!$A:$D,3,0)</f>
        <v>#N/A</v>
      </c>
      <c r="AQ492" s="487" t="e">
        <f>+VLOOKUP($AJ492,Data_Validation!$A:$D,4,0)</f>
        <v>#N/A</v>
      </c>
      <c r="AR492" s="487" t="s">
        <v>299</v>
      </c>
      <c r="AS492" s="487" t="e">
        <f>+VLOOKUP($AJ492,Data_Validation!$A:$E,5,0)</f>
        <v>#N/A</v>
      </c>
      <c r="AT492" s="904">
        <f t="shared" si="30"/>
        <v>0</v>
      </c>
      <c r="AU492" s="488">
        <f t="shared" si="30"/>
        <v>0</v>
      </c>
      <c r="AV492" s="899">
        <f>IFERROR(INDEX(V492:AG492,1,MATCH(Parametres!$B$3,V$1:AG$1,0)-1)*IF(OR(C492="L",C492="S",C492="I"),-1,1),"")</f>
        <v>0</v>
      </c>
      <c r="AW492" s="899">
        <f t="shared" si="31"/>
        <v>0</v>
      </c>
      <c r="AX492" s="899">
        <f>INDEX(V492:AG492,1,MATCH(Parametres!$B$3,V$1:AG$1,0))*IF(OR(C492="L",C492="S",C492="I"),-1,1)</f>
        <v>0</v>
      </c>
      <c r="AY492" s="487" t="s">
        <v>337</v>
      </c>
      <c r="AZ492" s="487" t="e">
        <f>+VLOOKUP($AJ492,Data_Validation!$A:$E,5,0)</f>
        <v>#N/A</v>
      </c>
    </row>
    <row r="493" spans="36:52" ht="15" customHeight="1">
      <c r="AJ493" s="899">
        <f t="shared" si="32"/>
        <v>0</v>
      </c>
      <c r="AK493" s="899">
        <f t="shared" si="32"/>
        <v>0</v>
      </c>
      <c r="AL493" s="905">
        <f>IFERROR(INDEX(G493:R493,1,MATCH(Parametres!$B$3,G$1:R$1,0)-1)*IF(OR(F493="L",F493="S",F493="I"),-1,1),"")</f>
        <v>0</v>
      </c>
      <c r="AM493" s="905">
        <f t="shared" si="29"/>
        <v>0</v>
      </c>
      <c r="AN493" s="905">
        <f>INDEX(G493:R493,1,MATCH(Parametres!$B$3,G$1:R$1,0))*IF(OR(F493="L",F493="S",F493="I"),-1,1)</f>
        <v>0</v>
      </c>
      <c r="AO493" s="487" t="e">
        <f>+VLOOKUP($AJ493,Data_Validation!$A:$D,1,0)</f>
        <v>#N/A</v>
      </c>
      <c r="AP493" s="487" t="e">
        <f>+VLOOKUP($AJ493,Data_Validation!$A:$D,3,0)</f>
        <v>#N/A</v>
      </c>
      <c r="AQ493" s="487" t="e">
        <f>+VLOOKUP($AJ493,Data_Validation!$A:$D,4,0)</f>
        <v>#N/A</v>
      </c>
      <c r="AR493" s="487" t="s">
        <v>299</v>
      </c>
      <c r="AS493" s="487" t="e">
        <f>+VLOOKUP($AJ493,Data_Validation!$A:$E,5,0)</f>
        <v>#N/A</v>
      </c>
      <c r="AT493" s="904">
        <f t="shared" si="30"/>
        <v>0</v>
      </c>
      <c r="AU493" s="488">
        <f t="shared" si="30"/>
        <v>0</v>
      </c>
      <c r="AV493" s="899">
        <f>IFERROR(INDEX(V493:AG493,1,MATCH(Parametres!$B$3,V$1:AG$1,0)-1)*IF(OR(C493="L",C493="S",C493="I"),-1,1),"")</f>
        <v>0</v>
      </c>
      <c r="AW493" s="899">
        <f t="shared" si="31"/>
        <v>0</v>
      </c>
      <c r="AX493" s="899">
        <f>INDEX(V493:AG493,1,MATCH(Parametres!$B$3,V$1:AG$1,0))*IF(OR(C493="L",C493="S",C493="I"),-1,1)</f>
        <v>0</v>
      </c>
      <c r="AY493" s="487" t="s">
        <v>337</v>
      </c>
      <c r="AZ493" s="487" t="e">
        <f>+VLOOKUP($AJ493,Data_Validation!$A:$E,5,0)</f>
        <v>#N/A</v>
      </c>
    </row>
    <row r="494" spans="36:52" ht="15" customHeight="1">
      <c r="AJ494" s="899">
        <f t="shared" si="32"/>
        <v>0</v>
      </c>
      <c r="AK494" s="899">
        <f t="shared" si="32"/>
        <v>0</v>
      </c>
      <c r="AL494" s="905">
        <f>IFERROR(INDEX(G494:R494,1,MATCH(Parametres!$B$3,G$1:R$1,0)-1)*IF(OR(F494="L",F494="S",F494="I"),-1,1),"")</f>
        <v>0</v>
      </c>
      <c r="AM494" s="905">
        <f t="shared" si="29"/>
        <v>0</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f t="shared" si="30"/>
        <v>0</v>
      </c>
      <c r="AU494" s="488">
        <f t="shared" si="30"/>
        <v>0</v>
      </c>
      <c r="AV494" s="899">
        <f>IFERROR(INDEX(V494:AG494,1,MATCH(Parametres!$B$3,V$1:AG$1,0)-1)*IF(OR(C494="L",C494="S",C494="I"),-1,1),"")</f>
        <v>0</v>
      </c>
      <c r="AW494" s="899">
        <f t="shared" si="31"/>
        <v>0</v>
      </c>
      <c r="AX494" s="899">
        <f>INDEX(V494:AG494,1,MATCH(Parametres!$B$3,V$1:AG$1,0))*IF(OR(C494="L",C494="S",C494="I"),-1,1)</f>
        <v>0</v>
      </c>
      <c r="AY494" s="487" t="s">
        <v>337</v>
      </c>
      <c r="AZ494" s="487" t="e">
        <f>+VLOOKUP($AJ494,Data_Validation!$A:$E,5,0)</f>
        <v>#N/A</v>
      </c>
    </row>
    <row r="495" spans="36:52" ht="15" customHeight="1">
      <c r="AJ495" s="899">
        <f t="shared" si="32"/>
        <v>0</v>
      </c>
      <c r="AK495" s="899">
        <f t="shared" si="32"/>
        <v>0</v>
      </c>
      <c r="AL495" s="905">
        <f>IFERROR(INDEX(G495:R495,1,MATCH(Parametres!$B$3,G$1:R$1,0)-1)*IF(OR(F495="L",F495="S",F495="I"),-1,1),"")</f>
        <v>0</v>
      </c>
      <c r="AM495" s="905">
        <f t="shared" si="29"/>
        <v>0</v>
      </c>
      <c r="AN495" s="905">
        <f>INDEX(G495:R495,1,MATCH(Parametres!$B$3,G$1:R$1,0))*IF(OR(F495="L",F495="S",F495="I"),-1,1)</f>
        <v>0</v>
      </c>
      <c r="AO495" s="487" t="e">
        <f>+VLOOKUP($AJ495,Data_Validation!$A:$D,1,0)</f>
        <v>#N/A</v>
      </c>
      <c r="AP495" s="487" t="e">
        <f>+VLOOKUP($AJ495,Data_Validation!$A:$D,3,0)</f>
        <v>#N/A</v>
      </c>
      <c r="AQ495" s="487" t="e">
        <f>+VLOOKUP($AJ495,Data_Validation!$A:$D,4,0)</f>
        <v>#N/A</v>
      </c>
      <c r="AR495" s="487" t="s">
        <v>299</v>
      </c>
      <c r="AS495" s="487" t="e">
        <f>+VLOOKUP($AJ495,Data_Validation!$A:$E,5,0)</f>
        <v>#N/A</v>
      </c>
      <c r="AT495" s="904">
        <f t="shared" si="30"/>
        <v>0</v>
      </c>
      <c r="AU495" s="488">
        <f t="shared" si="30"/>
        <v>0</v>
      </c>
      <c r="AV495" s="899">
        <f>IFERROR(INDEX(V495:AG495,1,MATCH(Parametres!$B$3,V$1:AG$1,0)-1)*IF(OR(C495="L",C495="S",C495="I"),-1,1),"")</f>
        <v>0</v>
      </c>
      <c r="AW495" s="899">
        <f t="shared" si="31"/>
        <v>0</v>
      </c>
      <c r="AX495" s="899">
        <f>INDEX(V495:AG495,1,MATCH(Parametres!$B$3,V$1:AG$1,0))*IF(OR(C495="L",C495="S",C495="I"),-1,1)</f>
        <v>0</v>
      </c>
      <c r="AY495" s="487" t="s">
        <v>337</v>
      </c>
      <c r="AZ495" s="487" t="e">
        <f>+VLOOKUP($AJ495,Data_Validation!$A:$E,5,0)</f>
        <v>#N/A</v>
      </c>
    </row>
    <row r="496" spans="36:52" ht="15" customHeight="1">
      <c r="AJ496" s="899">
        <f t="shared" si="32"/>
        <v>0</v>
      </c>
      <c r="AK496" s="899">
        <f t="shared" si="32"/>
        <v>0</v>
      </c>
      <c r="AL496" s="905">
        <f>IFERROR(INDEX(G496:R496,1,MATCH(Parametres!$B$3,G$1:R$1,0)-1)*IF(OR(F496="L",F496="S",F496="I"),-1,1),"")</f>
        <v>0</v>
      </c>
      <c r="AM496" s="905">
        <f t="shared" si="29"/>
        <v>0</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f t="shared" si="30"/>
        <v>0</v>
      </c>
      <c r="AU496" s="488">
        <f t="shared" si="30"/>
        <v>0</v>
      </c>
      <c r="AV496" s="899">
        <f>IFERROR(INDEX(V496:AG496,1,MATCH(Parametres!$B$3,V$1:AG$1,0)-1)*IF(OR(C496="L",C496="S",C496="I"),-1,1),"")</f>
        <v>0</v>
      </c>
      <c r="AW496" s="899">
        <f t="shared" si="31"/>
        <v>0</v>
      </c>
      <c r="AX496" s="899">
        <f>INDEX(V496:AG496,1,MATCH(Parametres!$B$3,V$1:AG$1,0))*IF(OR(C496="L",C496="S",C496="I"),-1,1)</f>
        <v>0</v>
      </c>
      <c r="AY496" s="487" t="s">
        <v>337</v>
      </c>
      <c r="AZ496" s="487" t="e">
        <f>+VLOOKUP($AJ496,Data_Validation!$A:$E,5,0)</f>
        <v>#N/A</v>
      </c>
    </row>
    <row r="497" spans="36:52" ht="15" customHeight="1">
      <c r="AJ497" s="899">
        <f t="shared" si="32"/>
        <v>0</v>
      </c>
      <c r="AK497" s="899">
        <f t="shared" si="32"/>
        <v>0</v>
      </c>
      <c r="AL497" s="905">
        <f>IFERROR(INDEX(G497:R497,1,MATCH(Parametres!$B$3,G$1:R$1,0)-1)*IF(OR(F497="L",F497="S",F497="I"),-1,1),"")</f>
        <v>0</v>
      </c>
      <c r="AM497" s="905">
        <f t="shared" si="29"/>
        <v>0</v>
      </c>
      <c r="AN497" s="905">
        <f>INDEX(G497:R497,1,MATCH(Parametres!$B$3,G$1:R$1,0))*IF(OR(F497="L",F497="S",F497="I"),-1,1)</f>
        <v>0</v>
      </c>
      <c r="AO497" s="487" t="e">
        <f>+VLOOKUP($AJ497,Data_Validation!$A:$D,1,0)</f>
        <v>#N/A</v>
      </c>
      <c r="AP497" s="487" t="e">
        <f>+VLOOKUP($AJ497,Data_Validation!$A:$D,3,0)</f>
        <v>#N/A</v>
      </c>
      <c r="AQ497" s="487" t="e">
        <f>+VLOOKUP($AJ497,Data_Validation!$A:$D,4,0)</f>
        <v>#N/A</v>
      </c>
      <c r="AR497" s="487" t="s">
        <v>299</v>
      </c>
      <c r="AS497" s="487" t="e">
        <f>+VLOOKUP($AJ497,Data_Validation!$A:$E,5,0)</f>
        <v>#N/A</v>
      </c>
      <c r="AT497" s="904">
        <f t="shared" si="30"/>
        <v>0</v>
      </c>
      <c r="AU497" s="488">
        <f t="shared" si="30"/>
        <v>0</v>
      </c>
      <c r="AV497" s="899">
        <f>IFERROR(INDEX(V497:AG497,1,MATCH(Parametres!$B$3,V$1:AG$1,0)-1)*IF(OR(C497="L",C497="S",C497="I"),-1,1),"")</f>
        <v>0</v>
      </c>
      <c r="AW497" s="899">
        <f t="shared" si="31"/>
        <v>0</v>
      </c>
      <c r="AX497" s="899">
        <f>INDEX(V497:AG497,1,MATCH(Parametres!$B$3,V$1:AG$1,0))*IF(OR(C497="L",C497="S",C497="I"),-1,1)</f>
        <v>0</v>
      </c>
      <c r="AY497" s="487" t="s">
        <v>337</v>
      </c>
      <c r="AZ497" s="487" t="e">
        <f>+VLOOKUP($AJ497,Data_Validation!$A:$E,5,0)</f>
        <v>#N/A</v>
      </c>
    </row>
    <row r="498" spans="36:52" ht="15" customHeight="1">
      <c r="AJ498" s="899">
        <f t="shared" si="32"/>
        <v>0</v>
      </c>
      <c r="AK498" s="899">
        <f t="shared" si="32"/>
        <v>0</v>
      </c>
      <c r="AL498" s="905">
        <f>IFERROR(INDEX(G498:R498,1,MATCH(Parametres!$B$3,G$1:R$1,0)-1)*IF(OR(F498="L",F498="S",F498="I"),-1,1),"")</f>
        <v>0</v>
      </c>
      <c r="AM498" s="905">
        <f t="shared" si="29"/>
        <v>0</v>
      </c>
      <c r="AN498" s="905">
        <f>INDEX(G498:R498,1,MATCH(Parametres!$B$3,G$1:R$1,0))*IF(OR(F498="L",F498="S",F498="I"),-1,1)</f>
        <v>0</v>
      </c>
      <c r="AO498" s="487" t="e">
        <f>+VLOOKUP($AJ498,Data_Validation!$A:$D,1,0)</f>
        <v>#N/A</v>
      </c>
      <c r="AP498" s="487" t="e">
        <f>+VLOOKUP($AJ498,Data_Validation!$A:$D,3,0)</f>
        <v>#N/A</v>
      </c>
      <c r="AQ498" s="487" t="e">
        <f>+VLOOKUP($AJ498,Data_Validation!$A:$D,4,0)</f>
        <v>#N/A</v>
      </c>
      <c r="AR498" s="487" t="s">
        <v>299</v>
      </c>
      <c r="AS498" s="487" t="e">
        <f>+VLOOKUP($AJ498,Data_Validation!$A:$E,5,0)</f>
        <v>#N/A</v>
      </c>
      <c r="AT498" s="904">
        <f t="shared" si="30"/>
        <v>0</v>
      </c>
      <c r="AU498" s="488">
        <f t="shared" si="30"/>
        <v>0</v>
      </c>
      <c r="AV498" s="899">
        <f>IFERROR(INDEX(V498:AG498,1,MATCH(Parametres!$B$3,V$1:AG$1,0)-1)*IF(OR(C498="L",C498="S",C498="I"),-1,1),"")</f>
        <v>0</v>
      </c>
      <c r="AW498" s="899">
        <f t="shared" si="31"/>
        <v>0</v>
      </c>
      <c r="AX498" s="899">
        <f>INDEX(V498:AG498,1,MATCH(Parametres!$B$3,V$1:AG$1,0))*IF(OR(C498="L",C498="S",C498="I"),-1,1)</f>
        <v>0</v>
      </c>
      <c r="AY498" s="487" t="s">
        <v>337</v>
      </c>
      <c r="AZ498" s="487" t="e">
        <f>+VLOOKUP($AJ498,Data_Validation!$A:$E,5,0)</f>
        <v>#N/A</v>
      </c>
    </row>
    <row r="499" spans="36:52" ht="15" customHeight="1">
      <c r="AJ499" s="899">
        <f t="shared" si="32"/>
        <v>0</v>
      </c>
      <c r="AK499" s="899">
        <f t="shared" si="32"/>
        <v>0</v>
      </c>
      <c r="AL499" s="905">
        <f>IFERROR(INDEX(G499:R499,1,MATCH(Parametres!$B$3,G$1:R$1,0)-1)*IF(OR(F499="L",F499="S",F499="I"),-1,1),"")</f>
        <v>0</v>
      </c>
      <c r="AM499" s="905">
        <f t="shared" si="29"/>
        <v>0</v>
      </c>
      <c r="AN499" s="905">
        <f>INDEX(G499:R499,1,MATCH(Parametres!$B$3,G$1:R$1,0))*IF(OR(F499="L",F499="S",F499="I"),-1,1)</f>
        <v>0</v>
      </c>
      <c r="AO499" s="487" t="e">
        <f>+VLOOKUP($AJ499,Data_Validation!$A:$D,1,0)</f>
        <v>#N/A</v>
      </c>
      <c r="AP499" s="487" t="e">
        <f>+VLOOKUP($AJ499,Data_Validation!$A:$D,3,0)</f>
        <v>#N/A</v>
      </c>
      <c r="AQ499" s="487" t="e">
        <f>+VLOOKUP($AJ499,Data_Validation!$A:$D,4,0)</f>
        <v>#N/A</v>
      </c>
      <c r="AR499" s="487" t="s">
        <v>299</v>
      </c>
      <c r="AS499" s="487" t="e">
        <f>+VLOOKUP($AJ499,Data_Validation!$A:$E,5,0)</f>
        <v>#N/A</v>
      </c>
      <c r="AT499" s="904">
        <f t="shared" si="30"/>
        <v>0</v>
      </c>
      <c r="AU499" s="488">
        <f t="shared" si="30"/>
        <v>0</v>
      </c>
      <c r="AV499" s="899">
        <f>IFERROR(INDEX(V499:AG499,1,MATCH(Parametres!$B$3,V$1:AG$1,0)-1)*IF(OR(C499="L",C499="S",C499="I"),-1,1),"")</f>
        <v>0</v>
      </c>
      <c r="AW499" s="899">
        <f t="shared" si="31"/>
        <v>0</v>
      </c>
      <c r="AX499" s="899">
        <f>INDEX(V499:AG499,1,MATCH(Parametres!$B$3,V$1:AG$1,0))*IF(OR(C499="L",C499="S",C499="I"),-1,1)</f>
        <v>0</v>
      </c>
      <c r="AY499" s="487" t="s">
        <v>337</v>
      </c>
      <c r="AZ499" s="487" t="e">
        <f>+VLOOKUP($AJ499,Data_Validation!$A:$E,5,0)</f>
        <v>#N/A</v>
      </c>
    </row>
    <row r="500" spans="36:52" ht="15" customHeight="1">
      <c r="AJ500" s="899">
        <f t="shared" si="32"/>
        <v>0</v>
      </c>
      <c r="AK500" s="899">
        <f t="shared" si="32"/>
        <v>0</v>
      </c>
      <c r="AL500" s="905">
        <f>IFERROR(INDEX(G500:R500,1,MATCH(Parametres!$B$3,G$1:R$1,0)-1)*IF(OR(F500="L",F500="S",F500="I"),-1,1),"")</f>
        <v>0</v>
      </c>
      <c r="AM500" s="905">
        <f t="shared" si="29"/>
        <v>0</v>
      </c>
      <c r="AN500" s="905">
        <f>INDEX(G500:R500,1,MATCH(Parametres!$B$3,G$1:R$1,0))*IF(OR(F500="L",F500="S",F500="I"),-1,1)</f>
        <v>0</v>
      </c>
      <c r="AO500" s="487" t="e">
        <f>+VLOOKUP($AJ500,Data_Validation!$A:$D,1,0)</f>
        <v>#N/A</v>
      </c>
      <c r="AP500" s="487" t="e">
        <f>+VLOOKUP($AJ500,Data_Validation!$A:$D,3,0)</f>
        <v>#N/A</v>
      </c>
      <c r="AQ500" s="487" t="e">
        <f>+VLOOKUP($AJ500,Data_Validation!$A:$D,4,0)</f>
        <v>#N/A</v>
      </c>
      <c r="AR500" s="487" t="s">
        <v>299</v>
      </c>
      <c r="AS500" s="487" t="e">
        <f>+VLOOKUP($AJ500,Data_Validation!$A:$E,5,0)</f>
        <v>#N/A</v>
      </c>
      <c r="AT500" s="904">
        <f t="shared" si="30"/>
        <v>0</v>
      </c>
      <c r="AU500" s="488">
        <f t="shared" si="30"/>
        <v>0</v>
      </c>
      <c r="AV500" s="899">
        <f>IFERROR(INDEX(V500:AG500,1,MATCH(Parametres!$B$3,V$1:AG$1,0)-1)*IF(OR(C500="L",C500="S",C500="I"),-1,1),"")</f>
        <v>0</v>
      </c>
      <c r="AW500" s="899">
        <f t="shared" si="31"/>
        <v>0</v>
      </c>
      <c r="AX500" s="899">
        <f>INDEX(V500:AG500,1,MATCH(Parametres!$B$3,V$1:AG$1,0))*IF(OR(C500="L",C500="S",C500="I"),-1,1)</f>
        <v>0</v>
      </c>
      <c r="AY500" s="487" t="s">
        <v>337</v>
      </c>
      <c r="AZ500" s="487" t="e">
        <f>+VLOOKUP($AJ500,Data_Validation!$A:$E,5,0)</f>
        <v>#N/A</v>
      </c>
    </row>
    <row r="501" spans="36:52" ht="15" customHeight="1">
      <c r="AJ501" s="899">
        <f t="shared" si="32"/>
        <v>0</v>
      </c>
      <c r="AK501" s="899">
        <f t="shared" si="32"/>
        <v>0</v>
      </c>
      <c r="AL501" s="905">
        <f>IFERROR(INDEX(G501:R501,1,MATCH(Parametres!$B$3,G$1:R$1,0)-1)*IF(OR(F501="L",F501="S",F501="I"),-1,1),"")</f>
        <v>0</v>
      </c>
      <c r="AM501" s="905">
        <f t="shared" si="29"/>
        <v>0</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f t="shared" si="30"/>
        <v>0</v>
      </c>
      <c r="AU501" s="488">
        <f t="shared" si="30"/>
        <v>0</v>
      </c>
      <c r="AV501" s="899">
        <f>IFERROR(INDEX(V501:AG501,1,MATCH(Parametres!$B$3,V$1:AG$1,0)-1)*IF(OR(C501="L",C501="S",C501="I"),-1,1),"")</f>
        <v>0</v>
      </c>
      <c r="AW501" s="899">
        <f t="shared" si="31"/>
        <v>0</v>
      </c>
      <c r="AX501" s="899">
        <f>INDEX(V501:AG501,1,MATCH(Parametres!$B$3,V$1:AG$1,0))*IF(OR(C501="L",C501="S",C501="I"),-1,1)</f>
        <v>0</v>
      </c>
      <c r="AY501" s="487" t="s">
        <v>337</v>
      </c>
      <c r="AZ501" s="487" t="e">
        <f>+VLOOKUP($AJ501,Data_Validation!$A:$E,5,0)</f>
        <v>#N/A</v>
      </c>
    </row>
    <row r="502" spans="36:52" ht="15" customHeight="1">
      <c r="AJ502" s="899">
        <f t="shared" si="32"/>
        <v>0</v>
      </c>
      <c r="AK502" s="899">
        <f t="shared" si="32"/>
        <v>0</v>
      </c>
      <c r="AL502" s="905">
        <f>IFERROR(INDEX(G502:R502,1,MATCH(Parametres!$B$3,G$1:R$1,0)-1)*IF(OR(F502="L",F502="S",F502="I"),-1,1),"")</f>
        <v>0</v>
      </c>
      <c r="AM502" s="905">
        <f t="shared" si="29"/>
        <v>0</v>
      </c>
      <c r="AN502" s="905">
        <f>INDEX(G502:R502,1,MATCH(Parametres!$B$3,G$1:R$1,0))*IF(OR(F502="L",F502="S",F502="I"),-1,1)</f>
        <v>0</v>
      </c>
      <c r="AO502" s="487" t="e">
        <f>+VLOOKUP($AJ502,Data_Validation!$A:$D,1,0)</f>
        <v>#N/A</v>
      </c>
      <c r="AP502" s="487" t="e">
        <f>+VLOOKUP($AJ502,Data_Validation!$A:$D,3,0)</f>
        <v>#N/A</v>
      </c>
      <c r="AQ502" s="487" t="e">
        <f>+VLOOKUP($AJ502,Data_Validation!$A:$D,4,0)</f>
        <v>#N/A</v>
      </c>
      <c r="AR502" s="487" t="s">
        <v>299</v>
      </c>
      <c r="AS502" s="487" t="e">
        <f>+VLOOKUP($AJ502,Data_Validation!$A:$E,5,0)</f>
        <v>#N/A</v>
      </c>
      <c r="AT502" s="904">
        <f t="shared" si="30"/>
        <v>0</v>
      </c>
      <c r="AU502" s="488">
        <f t="shared" si="30"/>
        <v>0</v>
      </c>
      <c r="AV502" s="899">
        <f>IFERROR(INDEX(V502:AG502,1,MATCH(Parametres!$B$3,V$1:AG$1,0)-1)*IF(OR(C502="L",C502="S",C502="I"),-1,1),"")</f>
        <v>0</v>
      </c>
      <c r="AW502" s="899">
        <f t="shared" si="31"/>
        <v>0</v>
      </c>
      <c r="AX502" s="899">
        <f>INDEX(V502:AG502,1,MATCH(Parametres!$B$3,V$1:AG$1,0))*IF(OR(C502="L",C502="S",C502="I"),-1,1)</f>
        <v>0</v>
      </c>
      <c r="AY502" s="487" t="s">
        <v>337</v>
      </c>
      <c r="AZ502" s="487" t="e">
        <f>+VLOOKUP($AJ502,Data_Validation!$A:$E,5,0)</f>
        <v>#N/A</v>
      </c>
    </row>
    <row r="503" spans="36:52" ht="15" customHeight="1">
      <c r="AJ503" s="899">
        <f t="shared" si="32"/>
        <v>0</v>
      </c>
      <c r="AK503" s="899">
        <f t="shared" si="32"/>
        <v>0</v>
      </c>
      <c r="AL503" s="905">
        <f>IFERROR(INDEX(G503:R503,1,MATCH(Parametres!$B$3,G$1:R$1,0)-1)*IF(OR(F503="L",F503="S",F503="I"),-1,1),"")</f>
        <v>0</v>
      </c>
      <c r="AM503" s="905">
        <f t="shared" si="29"/>
        <v>0</v>
      </c>
      <c r="AN503" s="905">
        <f>INDEX(G503:R503,1,MATCH(Parametres!$B$3,G$1:R$1,0))*IF(OR(F503="L",F503="S",F503="I"),-1,1)</f>
        <v>0</v>
      </c>
      <c r="AO503" s="487" t="e">
        <f>+VLOOKUP($AJ503,Data_Validation!$A:$D,1,0)</f>
        <v>#N/A</v>
      </c>
      <c r="AP503" s="487" t="e">
        <f>+VLOOKUP($AJ503,Data_Validation!$A:$D,3,0)</f>
        <v>#N/A</v>
      </c>
      <c r="AQ503" s="487" t="e">
        <f>+VLOOKUP($AJ503,Data_Validation!$A:$D,4,0)</f>
        <v>#N/A</v>
      </c>
      <c r="AR503" s="487" t="s">
        <v>299</v>
      </c>
      <c r="AS503" s="487" t="e">
        <f>+VLOOKUP($AJ503,Data_Validation!$A:$E,5,0)</f>
        <v>#N/A</v>
      </c>
      <c r="AT503" s="904">
        <f t="shared" si="30"/>
        <v>0</v>
      </c>
      <c r="AU503" s="488">
        <f t="shared" si="30"/>
        <v>0</v>
      </c>
      <c r="AV503" s="899">
        <f>IFERROR(INDEX(V503:AG503,1,MATCH(Parametres!$B$3,V$1:AG$1,0)-1)*IF(OR(C503="L",C503="S",C503="I"),-1,1),"")</f>
        <v>0</v>
      </c>
      <c r="AW503" s="899">
        <f t="shared" si="31"/>
        <v>0</v>
      </c>
      <c r="AX503" s="899">
        <f>INDEX(V503:AG503,1,MATCH(Parametres!$B$3,V$1:AG$1,0))*IF(OR(C503="L",C503="S",C503="I"),-1,1)</f>
        <v>0</v>
      </c>
      <c r="AY503" s="487" t="s">
        <v>337</v>
      </c>
      <c r="AZ503" s="487" t="e">
        <f>+VLOOKUP($AJ503,Data_Validation!$A:$E,5,0)</f>
        <v>#N/A</v>
      </c>
    </row>
    <row r="504" spans="36:52" ht="15" customHeight="1">
      <c r="AJ504" s="899">
        <f t="shared" si="32"/>
        <v>0</v>
      </c>
      <c r="AK504" s="899">
        <f t="shared" si="32"/>
        <v>0</v>
      </c>
      <c r="AL504" s="905">
        <f>IFERROR(INDEX(G504:R504,1,MATCH(Parametres!$B$3,G$1:R$1,0)-1)*IF(OR(F504="L",F504="S",F504="I"),-1,1),"")</f>
        <v>0</v>
      </c>
      <c r="AM504" s="905">
        <f t="shared" si="29"/>
        <v>0</v>
      </c>
      <c r="AN504" s="905">
        <f>INDEX(G504:R504,1,MATCH(Parametres!$B$3,G$1:R$1,0))*IF(OR(F504="L",F504="S",F504="I"),-1,1)</f>
        <v>0</v>
      </c>
      <c r="AO504" s="487" t="e">
        <f>+VLOOKUP($AJ504,Data_Validation!$A:$D,1,0)</f>
        <v>#N/A</v>
      </c>
      <c r="AP504" s="487" t="e">
        <f>+VLOOKUP($AJ504,Data_Validation!$A:$D,3,0)</f>
        <v>#N/A</v>
      </c>
      <c r="AQ504" s="487" t="e">
        <f>+VLOOKUP($AJ504,Data_Validation!$A:$D,4,0)</f>
        <v>#N/A</v>
      </c>
      <c r="AR504" s="487" t="s">
        <v>299</v>
      </c>
      <c r="AS504" s="487" t="e">
        <f>+VLOOKUP($AJ504,Data_Validation!$A:$E,5,0)</f>
        <v>#N/A</v>
      </c>
      <c r="AT504" s="904">
        <f t="shared" si="30"/>
        <v>0</v>
      </c>
      <c r="AU504" s="488">
        <f t="shared" si="30"/>
        <v>0</v>
      </c>
      <c r="AV504" s="899">
        <f>IFERROR(INDEX(V504:AG504,1,MATCH(Parametres!$B$3,V$1:AG$1,0)-1)*IF(OR(C504="L",C504="S",C504="I"),-1,1),"")</f>
        <v>0</v>
      </c>
      <c r="AW504" s="899">
        <f t="shared" si="31"/>
        <v>0</v>
      </c>
      <c r="AX504" s="899">
        <f>INDEX(V504:AG504,1,MATCH(Parametres!$B$3,V$1:AG$1,0))*IF(OR(C504="L",C504="S",C504="I"),-1,1)</f>
        <v>0</v>
      </c>
      <c r="AY504" s="487" t="s">
        <v>337</v>
      </c>
      <c r="AZ504" s="487" t="e">
        <f>+VLOOKUP($AJ504,Data_Validation!$A:$E,5,0)</f>
        <v>#N/A</v>
      </c>
    </row>
    <row r="505" spans="36:52" ht="15" customHeight="1">
      <c r="AJ505" s="899">
        <f t="shared" si="32"/>
        <v>0</v>
      </c>
      <c r="AK505" s="899">
        <f t="shared" si="32"/>
        <v>0</v>
      </c>
      <c r="AL505" s="905">
        <f>IFERROR(INDEX(G505:R505,1,MATCH(Parametres!$B$3,G$1:R$1,0)-1)*IF(OR(F505="L",F505="S",F505="I"),-1,1),"")</f>
        <v>0</v>
      </c>
      <c r="AM505" s="905">
        <f t="shared" si="29"/>
        <v>0</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f t="shared" si="30"/>
        <v>0</v>
      </c>
      <c r="AU505" s="488">
        <f t="shared" si="30"/>
        <v>0</v>
      </c>
      <c r="AV505" s="899">
        <f>IFERROR(INDEX(V505:AG505,1,MATCH(Parametres!$B$3,V$1:AG$1,0)-1)*IF(OR(C505="L",C505="S",C505="I"),-1,1),"")</f>
        <v>0</v>
      </c>
      <c r="AW505" s="899">
        <f t="shared" si="31"/>
        <v>0</v>
      </c>
      <c r="AX505" s="899">
        <f>INDEX(V505:AG505,1,MATCH(Parametres!$B$3,V$1:AG$1,0))*IF(OR(C505="L",C505="S",C505="I"),-1,1)</f>
        <v>0</v>
      </c>
      <c r="AY505" s="487" t="s">
        <v>337</v>
      </c>
      <c r="AZ505" s="487" t="e">
        <f>+VLOOKUP($AJ505,Data_Validation!$A:$E,5,0)</f>
        <v>#N/A</v>
      </c>
    </row>
    <row r="506" spans="36:52" ht="15" customHeight="1">
      <c r="AJ506" s="899">
        <f t="shared" si="32"/>
        <v>0</v>
      </c>
      <c r="AK506" s="899">
        <f t="shared" si="32"/>
        <v>0</v>
      </c>
      <c r="AL506" s="905">
        <f>IFERROR(INDEX(G506:R506,1,MATCH(Parametres!$B$3,G$1:R$1,0)-1)*IF(OR(F506="L",F506="S",F506="I"),-1,1),"")</f>
        <v>0</v>
      </c>
      <c r="AM506" s="905">
        <f t="shared" si="29"/>
        <v>0</v>
      </c>
      <c r="AN506" s="905">
        <f>INDEX(G506:R506,1,MATCH(Parametres!$B$3,G$1:R$1,0))*IF(OR(F506="L",F506="S",F506="I"),-1,1)</f>
        <v>0</v>
      </c>
      <c r="AO506" s="487" t="e">
        <f>+VLOOKUP($AJ506,Data_Validation!$A:$D,1,0)</f>
        <v>#N/A</v>
      </c>
      <c r="AP506" s="487" t="e">
        <f>+VLOOKUP($AJ506,Data_Validation!$A:$D,3,0)</f>
        <v>#N/A</v>
      </c>
      <c r="AQ506" s="487" t="e">
        <f>+VLOOKUP($AJ506,Data_Validation!$A:$D,4,0)</f>
        <v>#N/A</v>
      </c>
      <c r="AR506" s="487" t="s">
        <v>299</v>
      </c>
      <c r="AS506" s="487" t="e">
        <f>+VLOOKUP($AJ506,Data_Validation!$A:$E,5,0)</f>
        <v>#N/A</v>
      </c>
      <c r="AT506" s="904">
        <f t="shared" si="30"/>
        <v>0</v>
      </c>
      <c r="AU506" s="488">
        <f t="shared" si="30"/>
        <v>0</v>
      </c>
      <c r="AV506" s="899">
        <f>IFERROR(INDEX(V506:AG506,1,MATCH(Parametres!$B$3,V$1:AG$1,0)-1)*IF(OR(C506="L",C506="S",C506="I"),-1,1),"")</f>
        <v>0</v>
      </c>
      <c r="AW506" s="899">
        <f t="shared" si="31"/>
        <v>0</v>
      </c>
      <c r="AX506" s="899">
        <f>INDEX(V506:AG506,1,MATCH(Parametres!$B$3,V$1:AG$1,0))*IF(OR(C506="L",C506="S",C506="I"),-1,1)</f>
        <v>0</v>
      </c>
      <c r="AY506" s="487" t="s">
        <v>337</v>
      </c>
      <c r="AZ506" s="487" t="e">
        <f>+VLOOKUP($AJ506,Data_Validation!$A:$E,5,0)</f>
        <v>#N/A</v>
      </c>
    </row>
    <row r="507" spans="36:52" ht="15" customHeight="1">
      <c r="AJ507" s="899">
        <f t="shared" si="32"/>
        <v>0</v>
      </c>
      <c r="AK507" s="899">
        <f t="shared" si="32"/>
        <v>0</v>
      </c>
      <c r="AL507" s="905">
        <f>IFERROR(INDEX(G507:R507,1,MATCH(Parametres!$B$3,G$1:R$1,0)-1)*IF(OR(F507="L",F507="S",F507="I"),-1,1),"")</f>
        <v>0</v>
      </c>
      <c r="AM507" s="905">
        <f t="shared" si="29"/>
        <v>0</v>
      </c>
      <c r="AN507" s="905">
        <f>INDEX(G507:R507,1,MATCH(Parametres!$B$3,G$1:R$1,0))*IF(OR(F507="L",F507="S",F507="I"),-1,1)</f>
        <v>0</v>
      </c>
      <c r="AO507" s="487" t="e">
        <f>+VLOOKUP($AJ507,Data_Validation!$A:$D,1,0)</f>
        <v>#N/A</v>
      </c>
      <c r="AP507" s="487" t="e">
        <f>+VLOOKUP($AJ507,Data_Validation!$A:$D,3,0)</f>
        <v>#N/A</v>
      </c>
      <c r="AQ507" s="487" t="e">
        <f>+VLOOKUP($AJ507,Data_Validation!$A:$D,4,0)</f>
        <v>#N/A</v>
      </c>
      <c r="AR507" s="487" t="s">
        <v>299</v>
      </c>
      <c r="AS507" s="487" t="e">
        <f>+VLOOKUP($AJ507,Data_Validation!$A:$E,5,0)</f>
        <v>#N/A</v>
      </c>
      <c r="AT507" s="904">
        <f t="shared" si="30"/>
        <v>0</v>
      </c>
      <c r="AU507" s="488">
        <f t="shared" si="30"/>
        <v>0</v>
      </c>
      <c r="AV507" s="899">
        <f>IFERROR(INDEX(V507:AG507,1,MATCH(Parametres!$B$3,V$1:AG$1,0)-1)*IF(OR(C507="L",C507="S",C507="I"),-1,1),"")</f>
        <v>0</v>
      </c>
      <c r="AW507" s="899">
        <f t="shared" si="31"/>
        <v>0</v>
      </c>
      <c r="AX507" s="899">
        <f>INDEX(V507:AG507,1,MATCH(Parametres!$B$3,V$1:AG$1,0))*IF(OR(C507="L",C507="S",C507="I"),-1,1)</f>
        <v>0</v>
      </c>
      <c r="AY507" s="487" t="s">
        <v>337</v>
      </c>
      <c r="AZ507" s="487" t="e">
        <f>+VLOOKUP($AJ507,Data_Validation!$A:$E,5,0)</f>
        <v>#N/A</v>
      </c>
    </row>
    <row r="508" spans="36:52" ht="15" customHeight="1">
      <c r="AJ508" s="899">
        <f t="shared" si="32"/>
        <v>0</v>
      </c>
      <c r="AK508" s="899">
        <f t="shared" si="32"/>
        <v>0</v>
      </c>
      <c r="AL508" s="905">
        <f>IFERROR(INDEX(G508:R508,1,MATCH(Parametres!$B$3,G$1:R$1,0)-1)*IF(OR(F508="L",F508="S",F508="I"),-1,1),"")</f>
        <v>0</v>
      </c>
      <c r="AM508" s="905">
        <f t="shared" si="29"/>
        <v>0</v>
      </c>
      <c r="AN508" s="905">
        <f>INDEX(G508:R508,1,MATCH(Parametres!$B$3,G$1:R$1,0))*IF(OR(F508="L",F508="S",F508="I"),-1,1)</f>
        <v>0</v>
      </c>
      <c r="AO508" s="487" t="e">
        <f>+VLOOKUP($AJ508,Data_Validation!$A:$D,1,0)</f>
        <v>#N/A</v>
      </c>
      <c r="AP508" s="487" t="e">
        <f>+VLOOKUP($AJ508,Data_Validation!$A:$D,3,0)</f>
        <v>#N/A</v>
      </c>
      <c r="AQ508" s="487" t="e">
        <f>+VLOOKUP($AJ508,Data_Validation!$A:$D,4,0)</f>
        <v>#N/A</v>
      </c>
      <c r="AR508" s="487" t="s">
        <v>299</v>
      </c>
      <c r="AS508" s="487" t="e">
        <f>+VLOOKUP($AJ508,Data_Validation!$A:$E,5,0)</f>
        <v>#N/A</v>
      </c>
      <c r="AT508" s="904">
        <f t="shared" si="30"/>
        <v>0</v>
      </c>
      <c r="AU508" s="488">
        <f t="shared" si="30"/>
        <v>0</v>
      </c>
      <c r="AV508" s="899">
        <f>IFERROR(INDEX(V508:AG508,1,MATCH(Parametres!$B$3,V$1:AG$1,0)-1)*IF(OR(C508="L",C508="S",C508="I"),-1,1),"")</f>
        <v>0</v>
      </c>
      <c r="AW508" s="899">
        <f t="shared" si="31"/>
        <v>0</v>
      </c>
      <c r="AX508" s="899">
        <f>INDEX(V508:AG508,1,MATCH(Parametres!$B$3,V$1:AG$1,0))*IF(OR(C508="L",C508="S",C508="I"),-1,1)</f>
        <v>0</v>
      </c>
      <c r="AY508" s="487" t="s">
        <v>337</v>
      </c>
      <c r="AZ508" s="487" t="e">
        <f>+VLOOKUP($AJ508,Data_Validation!$A:$E,5,0)</f>
        <v>#N/A</v>
      </c>
    </row>
    <row r="509" spans="36:52" ht="15" customHeight="1">
      <c r="AJ509" s="899">
        <f t="shared" si="32"/>
        <v>0</v>
      </c>
      <c r="AK509" s="899">
        <f t="shared" si="32"/>
        <v>0</v>
      </c>
      <c r="AL509" s="905">
        <f>IFERROR(INDEX(G509:R509,1,MATCH(Parametres!$B$3,G$1:R$1,0)-1)*IF(OR(F509="L",F509="S",F509="I"),-1,1),"")</f>
        <v>0</v>
      </c>
      <c r="AM509" s="905">
        <f t="shared" si="29"/>
        <v>0</v>
      </c>
      <c r="AN509" s="905">
        <f>INDEX(G509:R509,1,MATCH(Parametres!$B$3,G$1:R$1,0))*IF(OR(F509="L",F509="S",F509="I"),-1,1)</f>
        <v>0</v>
      </c>
      <c r="AO509" s="487" t="e">
        <f>+VLOOKUP($AJ509,Data_Validation!$A:$D,1,0)</f>
        <v>#N/A</v>
      </c>
      <c r="AP509" s="487" t="e">
        <f>+VLOOKUP($AJ509,Data_Validation!$A:$D,3,0)</f>
        <v>#N/A</v>
      </c>
      <c r="AQ509" s="487" t="e">
        <f>+VLOOKUP($AJ509,Data_Validation!$A:$D,4,0)</f>
        <v>#N/A</v>
      </c>
      <c r="AR509" s="487" t="s">
        <v>299</v>
      </c>
      <c r="AS509" s="487" t="e">
        <f>+VLOOKUP($AJ509,Data_Validation!$A:$E,5,0)</f>
        <v>#N/A</v>
      </c>
      <c r="AT509" s="904">
        <f t="shared" si="30"/>
        <v>0</v>
      </c>
      <c r="AU509" s="488">
        <f t="shared" si="30"/>
        <v>0</v>
      </c>
      <c r="AV509" s="899">
        <f>IFERROR(INDEX(V509:AG509,1,MATCH(Parametres!$B$3,V$1:AG$1,0)-1)*IF(OR(C509="L",C509="S",C509="I"),-1,1),"")</f>
        <v>0</v>
      </c>
      <c r="AW509" s="899">
        <f t="shared" si="31"/>
        <v>0</v>
      </c>
      <c r="AX509" s="899">
        <f>INDEX(V509:AG509,1,MATCH(Parametres!$B$3,V$1:AG$1,0))*IF(OR(C509="L",C509="S",C509="I"),-1,1)</f>
        <v>0</v>
      </c>
      <c r="AY509" s="487" t="s">
        <v>337</v>
      </c>
      <c r="AZ509" s="487" t="e">
        <f>+VLOOKUP($AJ509,Data_Validation!$A:$E,5,0)</f>
        <v>#N/A</v>
      </c>
    </row>
    <row r="510" spans="36:52" ht="15" customHeight="1">
      <c r="AJ510" s="899">
        <f t="shared" si="32"/>
        <v>0</v>
      </c>
      <c r="AK510" s="899">
        <f t="shared" si="32"/>
        <v>0</v>
      </c>
      <c r="AL510" s="905">
        <f>IFERROR(INDEX(G510:R510,1,MATCH(Parametres!$B$3,G$1:R$1,0)-1)*IF(OR(F510="L",F510="S",F510="I"),-1,1),"")</f>
        <v>0</v>
      </c>
      <c r="AM510" s="905">
        <f t="shared" si="29"/>
        <v>0</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f t="shared" si="30"/>
        <v>0</v>
      </c>
      <c r="AU510" s="488">
        <f t="shared" si="30"/>
        <v>0</v>
      </c>
      <c r="AV510" s="899">
        <f>IFERROR(INDEX(V510:AG510,1,MATCH(Parametres!$B$3,V$1:AG$1,0)-1)*IF(OR(C510="L",C510="S",C510="I"),-1,1),"")</f>
        <v>0</v>
      </c>
      <c r="AW510" s="899">
        <f t="shared" si="31"/>
        <v>0</v>
      </c>
      <c r="AX510" s="899">
        <f>INDEX(V510:AG510,1,MATCH(Parametres!$B$3,V$1:AG$1,0))*IF(OR(C510="L",C510="S",C510="I"),-1,1)</f>
        <v>0</v>
      </c>
      <c r="AY510" s="487" t="s">
        <v>337</v>
      </c>
      <c r="AZ510" s="487" t="e">
        <f>+VLOOKUP($AJ510,Data_Validation!$A:$E,5,0)</f>
        <v>#N/A</v>
      </c>
    </row>
    <row r="511" spans="36:52" ht="15" customHeight="1">
      <c r="AJ511" s="899">
        <f t="shared" si="32"/>
        <v>0</v>
      </c>
      <c r="AK511" s="899">
        <f t="shared" si="32"/>
        <v>0</v>
      </c>
      <c r="AL511" s="905">
        <f>IFERROR(INDEX(G511:R511,1,MATCH(Parametres!$B$3,G$1:R$1,0)-1)*IF(OR(F511="L",F511="S",F511="I"),-1,1),"")</f>
        <v>0</v>
      </c>
      <c r="AM511" s="905">
        <f t="shared" si="29"/>
        <v>0</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f t="shared" si="30"/>
        <v>0</v>
      </c>
      <c r="AU511" s="488">
        <f t="shared" si="30"/>
        <v>0</v>
      </c>
      <c r="AV511" s="899">
        <f>IFERROR(INDEX(V511:AG511,1,MATCH(Parametres!$B$3,V$1:AG$1,0)-1)*IF(OR(C511="L",C511="S",C511="I"),-1,1),"")</f>
        <v>0</v>
      </c>
      <c r="AW511" s="899">
        <f t="shared" si="31"/>
        <v>0</v>
      </c>
      <c r="AX511" s="899">
        <f>INDEX(V511:AG511,1,MATCH(Parametres!$B$3,V$1:AG$1,0))*IF(OR(C511="L",C511="S",C511="I"),-1,1)</f>
        <v>0</v>
      </c>
      <c r="AY511" s="487" t="s">
        <v>337</v>
      </c>
      <c r="AZ511" s="487" t="e">
        <f>+VLOOKUP($AJ511,Data_Validation!$A:$E,5,0)</f>
        <v>#N/A</v>
      </c>
    </row>
    <row r="512" spans="36:52" ht="15" customHeight="1">
      <c r="AJ512" s="899">
        <f t="shared" si="32"/>
        <v>0</v>
      </c>
      <c r="AK512" s="899">
        <f t="shared" si="32"/>
        <v>0</v>
      </c>
      <c r="AL512" s="905">
        <f>IFERROR(INDEX(G512:R512,1,MATCH(Parametres!$B$3,G$1:R$1,0)-1)*IF(OR(F512="L",F512="S",F512="I"),-1,1),"")</f>
        <v>0</v>
      </c>
      <c r="AM512" s="905">
        <f t="shared" si="29"/>
        <v>0</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f t="shared" si="30"/>
        <v>0</v>
      </c>
      <c r="AU512" s="488">
        <f t="shared" si="30"/>
        <v>0</v>
      </c>
      <c r="AV512" s="899">
        <f>IFERROR(INDEX(V512:AG512,1,MATCH(Parametres!$B$3,V$1:AG$1,0)-1)*IF(OR(C512="L",C512="S",C512="I"),-1,1),"")</f>
        <v>0</v>
      </c>
      <c r="AW512" s="899">
        <f t="shared" si="31"/>
        <v>0</v>
      </c>
      <c r="AX512" s="899">
        <f>INDEX(V512:AG512,1,MATCH(Parametres!$B$3,V$1:AG$1,0))*IF(OR(C512="L",C512="S",C512="I"),-1,1)</f>
        <v>0</v>
      </c>
      <c r="AY512" s="487" t="s">
        <v>337</v>
      </c>
      <c r="AZ512" s="487" t="e">
        <f>+VLOOKUP($AJ512,Data_Validation!$A:$E,5,0)</f>
        <v>#N/A</v>
      </c>
    </row>
    <row r="513" spans="36:52" ht="15" customHeight="1">
      <c r="AJ513" s="899">
        <f t="shared" si="32"/>
        <v>0</v>
      </c>
      <c r="AK513" s="899">
        <f t="shared" si="32"/>
        <v>0</v>
      </c>
      <c r="AL513" s="905">
        <f>IFERROR(INDEX(G513:R513,1,MATCH(Parametres!$B$3,G$1:R$1,0)-1)*IF(OR(F513="L",F513="S",F513="I"),-1,1),"")</f>
        <v>0</v>
      </c>
      <c r="AM513" s="905">
        <f t="shared" si="29"/>
        <v>0</v>
      </c>
      <c r="AN513" s="905">
        <f>INDEX(G513:R513,1,MATCH(Parametres!$B$3,G$1:R$1,0))*IF(OR(F513="L",F513="S",F513="I"),-1,1)</f>
        <v>0</v>
      </c>
      <c r="AO513" s="487" t="e">
        <f>+VLOOKUP($AJ513,Data_Validation!$A:$D,1,0)</f>
        <v>#N/A</v>
      </c>
      <c r="AP513" s="487" t="e">
        <f>+VLOOKUP($AJ513,Data_Validation!$A:$D,3,0)</f>
        <v>#N/A</v>
      </c>
      <c r="AQ513" s="487" t="e">
        <f>+VLOOKUP($AJ513,Data_Validation!$A:$D,4,0)</f>
        <v>#N/A</v>
      </c>
      <c r="AR513" s="487" t="s">
        <v>299</v>
      </c>
      <c r="AS513" s="487" t="e">
        <f>+VLOOKUP($AJ513,Data_Validation!$A:$E,5,0)</f>
        <v>#N/A</v>
      </c>
      <c r="AT513" s="904">
        <f t="shared" si="30"/>
        <v>0</v>
      </c>
      <c r="AU513" s="488">
        <f t="shared" si="30"/>
        <v>0</v>
      </c>
      <c r="AV513" s="899">
        <f>IFERROR(INDEX(V513:AG513,1,MATCH(Parametres!$B$3,V$1:AG$1,0)-1)*IF(OR(C513="L",C513="S",C513="I"),-1,1),"")</f>
        <v>0</v>
      </c>
      <c r="AW513" s="899">
        <f t="shared" si="31"/>
        <v>0</v>
      </c>
      <c r="AX513" s="899">
        <f>INDEX(V513:AG513,1,MATCH(Parametres!$B$3,V$1:AG$1,0))*IF(OR(C513="L",C513="S",C513="I"),-1,1)</f>
        <v>0</v>
      </c>
      <c r="AY513" s="487" t="s">
        <v>337</v>
      </c>
      <c r="AZ513" s="487" t="e">
        <f>+VLOOKUP($AJ513,Data_Validation!$A:$E,5,0)</f>
        <v>#N/A</v>
      </c>
    </row>
    <row r="514" spans="36:52" ht="15" customHeight="1">
      <c r="AJ514" s="899">
        <f t="shared" si="32"/>
        <v>0</v>
      </c>
      <c r="AK514" s="899">
        <f t="shared" si="32"/>
        <v>0</v>
      </c>
      <c r="AL514" s="905">
        <f>IFERROR(INDEX(G514:R514,1,MATCH(Parametres!$B$3,G$1:R$1,0)-1)*IF(OR(F514="L",F514="S",F514="I"),-1,1),"")</f>
        <v>0</v>
      </c>
      <c r="AM514" s="905">
        <f t="shared" si="29"/>
        <v>0</v>
      </c>
      <c r="AN514" s="905">
        <f>INDEX(G514:R514,1,MATCH(Parametres!$B$3,G$1:R$1,0))*IF(OR(F514="L",F514="S",F514="I"),-1,1)</f>
        <v>0</v>
      </c>
      <c r="AO514" s="487" t="e">
        <f>+VLOOKUP($AJ514,Data_Validation!$A:$D,1,0)</f>
        <v>#N/A</v>
      </c>
      <c r="AP514" s="487" t="e">
        <f>+VLOOKUP($AJ514,Data_Validation!$A:$D,3,0)</f>
        <v>#N/A</v>
      </c>
      <c r="AQ514" s="487" t="e">
        <f>+VLOOKUP($AJ514,Data_Validation!$A:$D,4,0)</f>
        <v>#N/A</v>
      </c>
      <c r="AR514" s="487" t="s">
        <v>299</v>
      </c>
      <c r="AS514" s="487" t="e">
        <f>+VLOOKUP($AJ514,Data_Validation!$A:$E,5,0)</f>
        <v>#N/A</v>
      </c>
      <c r="AT514" s="904">
        <f t="shared" si="30"/>
        <v>0</v>
      </c>
      <c r="AU514" s="488">
        <f t="shared" si="30"/>
        <v>0</v>
      </c>
      <c r="AV514" s="899">
        <f>IFERROR(INDEX(V514:AG514,1,MATCH(Parametres!$B$3,V$1:AG$1,0)-1)*IF(OR(C514="L",C514="S",C514="I"),-1,1),"")</f>
        <v>0</v>
      </c>
      <c r="AW514" s="899">
        <f t="shared" si="31"/>
        <v>0</v>
      </c>
      <c r="AX514" s="899">
        <f>INDEX(V514:AG514,1,MATCH(Parametres!$B$3,V$1:AG$1,0))*IF(OR(C514="L",C514="S",C514="I"),-1,1)</f>
        <v>0</v>
      </c>
      <c r="AY514" s="487" t="s">
        <v>337</v>
      </c>
      <c r="AZ514" s="487" t="e">
        <f>+VLOOKUP($AJ514,Data_Validation!$A:$E,5,0)</f>
        <v>#N/A</v>
      </c>
    </row>
    <row r="515" spans="36:52" ht="15" customHeight="1">
      <c r="AJ515" s="899">
        <f t="shared" si="32"/>
        <v>0</v>
      </c>
      <c r="AK515" s="899">
        <f t="shared" si="32"/>
        <v>0</v>
      </c>
      <c r="AL515" s="905">
        <f>IFERROR(INDEX(G515:R515,1,MATCH(Parametres!$B$3,G$1:R$1,0)-1)*IF(OR(F515="L",F515="S",F515="I"),-1,1),"")</f>
        <v>0</v>
      </c>
      <c r="AM515" s="905">
        <f t="shared" si="29"/>
        <v>0</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f t="shared" si="30"/>
        <v>0</v>
      </c>
      <c r="AU515" s="488">
        <f t="shared" si="30"/>
        <v>0</v>
      </c>
      <c r="AV515" s="899">
        <f>IFERROR(INDEX(V515:AG515,1,MATCH(Parametres!$B$3,V$1:AG$1,0)-1)*IF(OR(C515="L",C515="S",C515="I"),-1,1),"")</f>
        <v>0</v>
      </c>
      <c r="AW515" s="899">
        <f t="shared" si="31"/>
        <v>0</v>
      </c>
      <c r="AX515" s="899">
        <f>INDEX(V515:AG515,1,MATCH(Parametres!$B$3,V$1:AG$1,0))*IF(OR(C515="L",C515="S",C515="I"),-1,1)</f>
        <v>0</v>
      </c>
      <c r="AY515" s="487" t="s">
        <v>337</v>
      </c>
      <c r="AZ515" s="487" t="e">
        <f>+VLOOKUP($AJ515,Data_Validation!$A:$E,5,0)</f>
        <v>#N/A</v>
      </c>
    </row>
    <row r="516" spans="36:52" ht="15" customHeight="1">
      <c r="AJ516" s="899">
        <f t="shared" si="32"/>
        <v>0</v>
      </c>
      <c r="AK516" s="899">
        <f t="shared" si="32"/>
        <v>0</v>
      </c>
      <c r="AL516" s="905">
        <f>IFERROR(INDEX(G516:R516,1,MATCH(Parametres!$B$3,G$1:R$1,0)-1)*IF(OR(F516="L",F516="S",F516="I"),-1,1),"")</f>
        <v>0</v>
      </c>
      <c r="AM516" s="905">
        <f t="shared" ref="AM516:AM579" si="33">AN516-AL516</f>
        <v>0</v>
      </c>
      <c r="AN516" s="905">
        <f>INDEX(G516:R516,1,MATCH(Parametres!$B$3,G$1:R$1,0))*IF(OR(F516="L",F516="S",F516="I"),-1,1)</f>
        <v>0</v>
      </c>
      <c r="AO516" s="487" t="e">
        <f>+VLOOKUP($AJ516,Data_Validation!$A:$D,1,0)</f>
        <v>#N/A</v>
      </c>
      <c r="AP516" s="487" t="e">
        <f>+VLOOKUP($AJ516,Data_Validation!$A:$D,3,0)</f>
        <v>#N/A</v>
      </c>
      <c r="AQ516" s="487" t="e">
        <f>+VLOOKUP($AJ516,Data_Validation!$A:$D,4,0)</f>
        <v>#N/A</v>
      </c>
      <c r="AR516" s="487" t="s">
        <v>299</v>
      </c>
      <c r="AS516" s="487" t="e">
        <f>+VLOOKUP($AJ516,Data_Validation!$A:$E,5,0)</f>
        <v>#N/A</v>
      </c>
      <c r="AT516" s="904">
        <f t="shared" ref="AT516:AU579" si="34">C516</f>
        <v>0</v>
      </c>
      <c r="AU516" s="488">
        <f t="shared" si="34"/>
        <v>0</v>
      </c>
      <c r="AV516" s="899">
        <f>IFERROR(INDEX(V516:AG516,1,MATCH(Parametres!$B$3,V$1:AG$1,0)-1)*IF(OR(C516="L",C516="S",C516="I"),-1,1),"")</f>
        <v>0</v>
      </c>
      <c r="AW516" s="899">
        <f t="shared" ref="AW516:AW579" si="35">AX516-AV516</f>
        <v>0</v>
      </c>
      <c r="AX516" s="899">
        <f>INDEX(V516:AG516,1,MATCH(Parametres!$B$3,V$1:AG$1,0))*IF(OR(C516="L",C516="S",C516="I"),-1,1)</f>
        <v>0</v>
      </c>
      <c r="AY516" s="487" t="s">
        <v>337</v>
      </c>
      <c r="AZ516" s="487" t="e">
        <f>+VLOOKUP($AJ516,Data_Validation!$A:$E,5,0)</f>
        <v>#N/A</v>
      </c>
    </row>
    <row r="517" spans="36:52" ht="15" customHeight="1">
      <c r="AJ517" s="899">
        <f t="shared" si="32"/>
        <v>0</v>
      </c>
      <c r="AK517" s="899">
        <f t="shared" si="32"/>
        <v>0</v>
      </c>
      <c r="AL517" s="905">
        <f>IFERROR(INDEX(G517:R517,1,MATCH(Parametres!$B$3,G$1:R$1,0)-1)*IF(OR(F517="L",F517="S",F517="I"),-1,1),"")</f>
        <v>0</v>
      </c>
      <c r="AM517" s="905">
        <f t="shared" si="33"/>
        <v>0</v>
      </c>
      <c r="AN517" s="905">
        <f>INDEX(G517:R517,1,MATCH(Parametres!$B$3,G$1:R$1,0))*IF(OR(F517="L",F517="S",F517="I"),-1,1)</f>
        <v>0</v>
      </c>
      <c r="AO517" s="487" t="e">
        <f>+VLOOKUP($AJ517,Data_Validation!$A:$D,1,0)</f>
        <v>#N/A</v>
      </c>
      <c r="AP517" s="487" t="e">
        <f>+VLOOKUP($AJ517,Data_Validation!$A:$D,3,0)</f>
        <v>#N/A</v>
      </c>
      <c r="AQ517" s="487" t="e">
        <f>+VLOOKUP($AJ517,Data_Validation!$A:$D,4,0)</f>
        <v>#N/A</v>
      </c>
      <c r="AR517" s="487" t="s">
        <v>299</v>
      </c>
      <c r="AS517" s="487" t="e">
        <f>+VLOOKUP($AJ517,Data_Validation!$A:$E,5,0)</f>
        <v>#N/A</v>
      </c>
      <c r="AT517" s="904">
        <f t="shared" si="34"/>
        <v>0</v>
      </c>
      <c r="AU517" s="488">
        <f t="shared" si="34"/>
        <v>0</v>
      </c>
      <c r="AV517" s="899">
        <f>IFERROR(INDEX(V517:AG517,1,MATCH(Parametres!$B$3,V$1:AG$1,0)-1)*IF(OR(C517="L",C517="S",C517="I"),-1,1),"")</f>
        <v>0</v>
      </c>
      <c r="AW517" s="899">
        <f t="shared" si="35"/>
        <v>0</v>
      </c>
      <c r="AX517" s="899">
        <f>INDEX(V517:AG517,1,MATCH(Parametres!$B$3,V$1:AG$1,0))*IF(OR(C517="L",C517="S",C517="I"),-1,1)</f>
        <v>0</v>
      </c>
      <c r="AY517" s="487" t="s">
        <v>337</v>
      </c>
      <c r="AZ517" s="487" t="e">
        <f>+VLOOKUP($AJ517,Data_Validation!$A:$E,5,0)</f>
        <v>#N/A</v>
      </c>
    </row>
    <row r="518" spans="36:52" ht="15" customHeight="1">
      <c r="AJ518" s="899">
        <f t="shared" si="32"/>
        <v>0</v>
      </c>
      <c r="AK518" s="899">
        <f t="shared" si="32"/>
        <v>0</v>
      </c>
      <c r="AL518" s="905">
        <f>IFERROR(INDEX(G518:R518,1,MATCH(Parametres!$B$3,G$1:R$1,0)-1)*IF(OR(F518="L",F518="S",F518="I"),-1,1),"")</f>
        <v>0</v>
      </c>
      <c r="AM518" s="905">
        <f t="shared" si="33"/>
        <v>0</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f t="shared" si="34"/>
        <v>0</v>
      </c>
      <c r="AU518" s="488">
        <f t="shared" si="34"/>
        <v>0</v>
      </c>
      <c r="AV518" s="899">
        <f>IFERROR(INDEX(V518:AG518,1,MATCH(Parametres!$B$3,V$1:AG$1,0)-1)*IF(OR(C518="L",C518="S",C518="I"),-1,1),"")</f>
        <v>0</v>
      </c>
      <c r="AW518" s="899">
        <f t="shared" si="35"/>
        <v>0</v>
      </c>
      <c r="AX518" s="899">
        <f>INDEX(V518:AG518,1,MATCH(Parametres!$B$3,V$1:AG$1,0))*IF(OR(C518="L",C518="S",C518="I"),-1,1)</f>
        <v>0</v>
      </c>
      <c r="AY518" s="487" t="s">
        <v>337</v>
      </c>
      <c r="AZ518" s="487" t="e">
        <f>+VLOOKUP($AJ518,Data_Validation!$A:$E,5,0)</f>
        <v>#N/A</v>
      </c>
    </row>
    <row r="519" spans="36:52" ht="15" customHeight="1">
      <c r="AJ519" s="899">
        <f t="shared" si="32"/>
        <v>0</v>
      </c>
      <c r="AK519" s="899">
        <f t="shared" si="32"/>
        <v>0</v>
      </c>
      <c r="AL519" s="905">
        <f>IFERROR(INDEX(G519:R519,1,MATCH(Parametres!$B$3,G$1:R$1,0)-1)*IF(OR(F519="L",F519="S",F519="I"),-1,1),"")</f>
        <v>0</v>
      </c>
      <c r="AM519" s="905">
        <f t="shared" si="33"/>
        <v>0</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f t="shared" si="34"/>
        <v>0</v>
      </c>
      <c r="AU519" s="488">
        <f t="shared" si="34"/>
        <v>0</v>
      </c>
      <c r="AV519" s="899">
        <f>IFERROR(INDEX(V519:AG519,1,MATCH(Parametres!$B$3,V$1:AG$1,0)-1)*IF(OR(C519="L",C519="S",C519="I"),-1,1),"")</f>
        <v>0</v>
      </c>
      <c r="AW519" s="899">
        <f t="shared" si="35"/>
        <v>0</v>
      </c>
      <c r="AX519" s="899">
        <f>INDEX(V519:AG519,1,MATCH(Parametres!$B$3,V$1:AG$1,0))*IF(OR(C519="L",C519="S",C519="I"),-1,1)</f>
        <v>0</v>
      </c>
      <c r="AY519" s="487" t="s">
        <v>337</v>
      </c>
      <c r="AZ519" s="487" t="e">
        <f>+VLOOKUP($AJ519,Data_Validation!$A:$E,5,0)</f>
        <v>#N/A</v>
      </c>
    </row>
    <row r="520" spans="36:52" ht="15" customHeight="1">
      <c r="AJ520" s="899">
        <f t="shared" si="32"/>
        <v>0</v>
      </c>
      <c r="AK520" s="899">
        <f t="shared" si="32"/>
        <v>0</v>
      </c>
      <c r="AL520" s="905">
        <f>IFERROR(INDEX(G520:R520,1,MATCH(Parametres!$B$3,G$1:R$1,0)-1)*IF(OR(F520="L",F520="S",F520="I"),-1,1),"")</f>
        <v>0</v>
      </c>
      <c r="AM520" s="905">
        <f t="shared" si="33"/>
        <v>0</v>
      </c>
      <c r="AN520" s="905">
        <f>INDEX(G520:R520,1,MATCH(Parametres!$B$3,G$1:R$1,0))*IF(OR(F520="L",F520="S",F520="I"),-1,1)</f>
        <v>0</v>
      </c>
      <c r="AO520" s="487" t="e">
        <f>+VLOOKUP($AJ520,Data_Validation!$A:$D,1,0)</f>
        <v>#N/A</v>
      </c>
      <c r="AP520" s="487" t="e">
        <f>+VLOOKUP($AJ520,Data_Validation!$A:$D,3,0)</f>
        <v>#N/A</v>
      </c>
      <c r="AQ520" s="487" t="e">
        <f>+VLOOKUP($AJ520,Data_Validation!$A:$D,4,0)</f>
        <v>#N/A</v>
      </c>
      <c r="AR520" s="487" t="s">
        <v>299</v>
      </c>
      <c r="AS520" s="487" t="e">
        <f>+VLOOKUP($AJ520,Data_Validation!$A:$E,5,0)</f>
        <v>#N/A</v>
      </c>
      <c r="AT520" s="904">
        <f t="shared" si="34"/>
        <v>0</v>
      </c>
      <c r="AU520" s="488">
        <f t="shared" si="34"/>
        <v>0</v>
      </c>
      <c r="AV520" s="899">
        <f>IFERROR(INDEX(V520:AG520,1,MATCH(Parametres!$B$3,V$1:AG$1,0)-1)*IF(OR(C520="L",C520="S",C520="I"),-1,1),"")</f>
        <v>0</v>
      </c>
      <c r="AW520" s="899">
        <f t="shared" si="35"/>
        <v>0</v>
      </c>
      <c r="AX520" s="899">
        <f>INDEX(V520:AG520,1,MATCH(Parametres!$B$3,V$1:AG$1,0))*IF(OR(C520="L",C520="S",C520="I"),-1,1)</f>
        <v>0</v>
      </c>
      <c r="AY520" s="487" t="s">
        <v>337</v>
      </c>
      <c r="AZ520" s="487" t="e">
        <f>+VLOOKUP($AJ520,Data_Validation!$A:$E,5,0)</f>
        <v>#N/A</v>
      </c>
    </row>
    <row r="521" spans="36:52" ht="15" customHeight="1">
      <c r="AJ521" s="899">
        <f t="shared" si="32"/>
        <v>0</v>
      </c>
      <c r="AK521" s="899">
        <f t="shared" si="32"/>
        <v>0</v>
      </c>
      <c r="AL521" s="905">
        <f>IFERROR(INDEX(G521:R521,1,MATCH(Parametres!$B$3,G$1:R$1,0)-1)*IF(OR(F521="L",F521="S",F521="I"),-1,1),"")</f>
        <v>0</v>
      </c>
      <c r="AM521" s="905">
        <f t="shared" si="33"/>
        <v>0</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f t="shared" si="34"/>
        <v>0</v>
      </c>
      <c r="AU521" s="488">
        <f t="shared" si="34"/>
        <v>0</v>
      </c>
      <c r="AV521" s="899">
        <f>IFERROR(INDEX(V521:AG521,1,MATCH(Parametres!$B$3,V$1:AG$1,0)-1)*IF(OR(C521="L",C521="S",C521="I"),-1,1),"")</f>
        <v>0</v>
      </c>
      <c r="AW521" s="899">
        <f t="shared" si="35"/>
        <v>0</v>
      </c>
      <c r="AX521" s="899">
        <f>INDEX(V521:AG521,1,MATCH(Parametres!$B$3,V$1:AG$1,0))*IF(OR(C521="L",C521="S",C521="I"),-1,1)</f>
        <v>0</v>
      </c>
      <c r="AY521" s="487" t="s">
        <v>337</v>
      </c>
      <c r="AZ521" s="487" t="e">
        <f>+VLOOKUP($AJ521,Data_Validation!$A:$E,5,0)</f>
        <v>#N/A</v>
      </c>
    </row>
    <row r="522" spans="36:52" ht="15" customHeight="1">
      <c r="AJ522" s="899">
        <f t="shared" si="32"/>
        <v>0</v>
      </c>
      <c r="AK522" s="899">
        <f t="shared" si="32"/>
        <v>0</v>
      </c>
      <c r="AL522" s="905">
        <f>IFERROR(INDEX(G522:R522,1,MATCH(Parametres!$B$3,G$1:R$1,0)-1)*IF(OR(F522="L",F522="S",F522="I"),-1,1),"")</f>
        <v>0</v>
      </c>
      <c r="AM522" s="905">
        <f t="shared" si="33"/>
        <v>0</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f t="shared" si="34"/>
        <v>0</v>
      </c>
      <c r="AU522" s="488">
        <f t="shared" si="34"/>
        <v>0</v>
      </c>
      <c r="AV522" s="899">
        <f>IFERROR(INDEX(V522:AG522,1,MATCH(Parametres!$B$3,V$1:AG$1,0)-1)*IF(OR(C522="L",C522="S",C522="I"),-1,1),"")</f>
        <v>0</v>
      </c>
      <c r="AW522" s="899">
        <f t="shared" si="35"/>
        <v>0</v>
      </c>
      <c r="AX522" s="899">
        <f>INDEX(V522:AG522,1,MATCH(Parametres!$B$3,V$1:AG$1,0))*IF(OR(C522="L",C522="S",C522="I"),-1,1)</f>
        <v>0</v>
      </c>
      <c r="AY522" s="487" t="s">
        <v>337</v>
      </c>
      <c r="AZ522" s="487" t="e">
        <f>+VLOOKUP($AJ522,Data_Validation!$A:$E,5,0)</f>
        <v>#N/A</v>
      </c>
    </row>
    <row r="523" spans="36:52" ht="15" customHeight="1">
      <c r="AJ523" s="899">
        <f t="shared" si="32"/>
        <v>0</v>
      </c>
      <c r="AK523" s="899">
        <f t="shared" si="32"/>
        <v>0</v>
      </c>
      <c r="AL523" s="905">
        <f>IFERROR(INDEX(G523:R523,1,MATCH(Parametres!$B$3,G$1:R$1,0)-1)*IF(OR(F523="L",F523="S",F523="I"),-1,1),"")</f>
        <v>0</v>
      </c>
      <c r="AM523" s="905">
        <f t="shared" si="33"/>
        <v>0</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f t="shared" si="34"/>
        <v>0</v>
      </c>
      <c r="AU523" s="488">
        <f t="shared" si="34"/>
        <v>0</v>
      </c>
      <c r="AV523" s="899">
        <f>IFERROR(INDEX(V523:AG523,1,MATCH(Parametres!$B$3,V$1:AG$1,0)-1)*IF(OR(C523="L",C523="S",C523="I"),-1,1),"")</f>
        <v>0</v>
      </c>
      <c r="AW523" s="899">
        <f t="shared" si="35"/>
        <v>0</v>
      </c>
      <c r="AX523" s="899">
        <f>INDEX(V523:AG523,1,MATCH(Parametres!$B$3,V$1:AG$1,0))*IF(OR(C523="L",C523="S",C523="I"),-1,1)</f>
        <v>0</v>
      </c>
      <c r="AY523" s="487" t="s">
        <v>337</v>
      </c>
      <c r="AZ523" s="487" t="e">
        <f>+VLOOKUP($AJ523,Data_Validation!$A:$E,5,0)</f>
        <v>#N/A</v>
      </c>
    </row>
    <row r="524" spans="36:52" ht="15" customHeight="1">
      <c r="AJ524" s="899">
        <f t="shared" si="32"/>
        <v>0</v>
      </c>
      <c r="AK524" s="899">
        <f t="shared" si="32"/>
        <v>0</v>
      </c>
      <c r="AL524" s="905">
        <f>IFERROR(INDEX(G524:R524,1,MATCH(Parametres!$B$3,G$1:R$1,0)-1)*IF(OR(F524="L",F524="S",F524="I"),-1,1),"")</f>
        <v>0</v>
      </c>
      <c r="AM524" s="905">
        <f t="shared" si="33"/>
        <v>0</v>
      </c>
      <c r="AN524" s="905">
        <f>INDEX(G524:R524,1,MATCH(Parametres!$B$3,G$1:R$1,0))*IF(OR(F524="L",F524="S",F524="I"),-1,1)</f>
        <v>0</v>
      </c>
      <c r="AO524" s="487" t="e">
        <f>+VLOOKUP($AJ524,Data_Validation!$A:$D,1,0)</f>
        <v>#N/A</v>
      </c>
      <c r="AP524" s="487" t="e">
        <f>+VLOOKUP($AJ524,Data_Validation!$A:$D,3,0)</f>
        <v>#N/A</v>
      </c>
      <c r="AQ524" s="487" t="e">
        <f>+VLOOKUP($AJ524,Data_Validation!$A:$D,4,0)</f>
        <v>#N/A</v>
      </c>
      <c r="AR524" s="487" t="s">
        <v>299</v>
      </c>
      <c r="AS524" s="487" t="e">
        <f>+VLOOKUP($AJ524,Data_Validation!$A:$E,5,0)</f>
        <v>#N/A</v>
      </c>
      <c r="AT524" s="904">
        <f t="shared" si="34"/>
        <v>0</v>
      </c>
      <c r="AU524" s="488">
        <f t="shared" si="34"/>
        <v>0</v>
      </c>
      <c r="AV524" s="899">
        <f>IFERROR(INDEX(V524:AG524,1,MATCH(Parametres!$B$3,V$1:AG$1,0)-1)*IF(OR(C524="L",C524="S",C524="I"),-1,1),"")</f>
        <v>0</v>
      </c>
      <c r="AW524" s="899">
        <f t="shared" si="35"/>
        <v>0</v>
      </c>
      <c r="AX524" s="899">
        <f>INDEX(V524:AG524,1,MATCH(Parametres!$B$3,V$1:AG$1,0))*IF(OR(C524="L",C524="S",C524="I"),-1,1)</f>
        <v>0</v>
      </c>
      <c r="AY524" s="487" t="s">
        <v>337</v>
      </c>
      <c r="AZ524" s="487" t="e">
        <f>+VLOOKUP($AJ524,Data_Validation!$A:$E,5,0)</f>
        <v>#N/A</v>
      </c>
    </row>
    <row r="525" spans="36:52" ht="15" customHeight="1">
      <c r="AJ525" s="899">
        <f t="shared" si="32"/>
        <v>0</v>
      </c>
      <c r="AK525" s="899">
        <f t="shared" si="32"/>
        <v>0</v>
      </c>
      <c r="AL525" s="905">
        <f>IFERROR(INDEX(G525:R525,1,MATCH(Parametres!$B$3,G$1:R$1,0)-1)*IF(OR(F525="L",F525="S",F525="I"),-1,1),"")</f>
        <v>0</v>
      </c>
      <c r="AM525" s="905">
        <f t="shared" si="33"/>
        <v>0</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f t="shared" si="34"/>
        <v>0</v>
      </c>
      <c r="AU525" s="488">
        <f t="shared" si="34"/>
        <v>0</v>
      </c>
      <c r="AV525" s="899">
        <f>IFERROR(INDEX(V525:AG525,1,MATCH(Parametres!$B$3,V$1:AG$1,0)-1)*IF(OR(C525="L",C525="S",C525="I"),-1,1),"")</f>
        <v>0</v>
      </c>
      <c r="AW525" s="899">
        <f t="shared" si="35"/>
        <v>0</v>
      </c>
      <c r="AX525" s="899">
        <f>INDEX(V525:AG525,1,MATCH(Parametres!$B$3,V$1:AG$1,0))*IF(OR(C525="L",C525="S",C525="I"),-1,1)</f>
        <v>0</v>
      </c>
      <c r="AY525" s="487" t="s">
        <v>337</v>
      </c>
      <c r="AZ525" s="487" t="e">
        <f>+VLOOKUP($AJ525,Data_Validation!$A:$E,5,0)</f>
        <v>#N/A</v>
      </c>
    </row>
    <row r="526" spans="36:52" ht="15" customHeight="1">
      <c r="AJ526" s="899">
        <f t="shared" si="32"/>
        <v>0</v>
      </c>
      <c r="AK526" s="899">
        <f t="shared" si="32"/>
        <v>0</v>
      </c>
      <c r="AL526" s="905">
        <f>IFERROR(INDEX(G526:R526,1,MATCH(Parametres!$B$3,G$1:R$1,0)-1)*IF(OR(F526="L",F526="S",F526="I"),-1,1),"")</f>
        <v>0</v>
      </c>
      <c r="AM526" s="905">
        <f t="shared" si="33"/>
        <v>0</v>
      </c>
      <c r="AN526" s="905">
        <f>INDEX(G526:R526,1,MATCH(Parametres!$B$3,G$1:R$1,0))*IF(OR(F526="L",F526="S",F526="I"),-1,1)</f>
        <v>0</v>
      </c>
      <c r="AO526" s="487" t="e">
        <f>+VLOOKUP($AJ526,Data_Validation!$A:$D,1,0)</f>
        <v>#N/A</v>
      </c>
      <c r="AP526" s="487" t="e">
        <f>+VLOOKUP($AJ526,Data_Validation!$A:$D,3,0)</f>
        <v>#N/A</v>
      </c>
      <c r="AQ526" s="487" t="e">
        <f>+VLOOKUP($AJ526,Data_Validation!$A:$D,4,0)</f>
        <v>#N/A</v>
      </c>
      <c r="AR526" s="487" t="s">
        <v>299</v>
      </c>
      <c r="AS526" s="487" t="e">
        <f>+VLOOKUP($AJ526,Data_Validation!$A:$E,5,0)</f>
        <v>#N/A</v>
      </c>
      <c r="AT526" s="904">
        <f t="shared" si="34"/>
        <v>0</v>
      </c>
      <c r="AU526" s="488">
        <f t="shared" si="34"/>
        <v>0</v>
      </c>
      <c r="AV526" s="899">
        <f>IFERROR(INDEX(V526:AG526,1,MATCH(Parametres!$B$3,V$1:AG$1,0)-1)*IF(OR(C526="L",C526="S",C526="I"),-1,1),"")</f>
        <v>0</v>
      </c>
      <c r="AW526" s="899">
        <f t="shared" si="35"/>
        <v>0</v>
      </c>
      <c r="AX526" s="899">
        <f>INDEX(V526:AG526,1,MATCH(Parametres!$B$3,V$1:AG$1,0))*IF(OR(C526="L",C526="S",C526="I"),-1,1)</f>
        <v>0</v>
      </c>
      <c r="AY526" s="487" t="s">
        <v>337</v>
      </c>
      <c r="AZ526" s="487" t="e">
        <f>+VLOOKUP($AJ526,Data_Validation!$A:$E,5,0)</f>
        <v>#N/A</v>
      </c>
    </row>
    <row r="527" spans="36:52" ht="15" customHeight="1">
      <c r="AJ527" s="899">
        <f t="shared" si="32"/>
        <v>0</v>
      </c>
      <c r="AK527" s="899">
        <f t="shared" si="32"/>
        <v>0</v>
      </c>
      <c r="AL527" s="905">
        <f>IFERROR(INDEX(G527:R527,1,MATCH(Parametres!$B$3,G$1:R$1,0)-1)*IF(OR(F527="L",F527="S",F527="I"),-1,1),"")</f>
        <v>0</v>
      </c>
      <c r="AM527" s="905">
        <f t="shared" si="33"/>
        <v>0</v>
      </c>
      <c r="AN527" s="905">
        <f>INDEX(G527:R527,1,MATCH(Parametres!$B$3,G$1:R$1,0))*IF(OR(F527="L",F527="S",F527="I"),-1,1)</f>
        <v>0</v>
      </c>
      <c r="AO527" s="487" t="e">
        <f>+VLOOKUP($AJ527,Data_Validation!$A:$D,1,0)</f>
        <v>#N/A</v>
      </c>
      <c r="AP527" s="487" t="e">
        <f>+VLOOKUP($AJ527,Data_Validation!$A:$D,3,0)</f>
        <v>#N/A</v>
      </c>
      <c r="AQ527" s="487" t="e">
        <f>+VLOOKUP($AJ527,Data_Validation!$A:$D,4,0)</f>
        <v>#N/A</v>
      </c>
      <c r="AR527" s="487" t="s">
        <v>299</v>
      </c>
      <c r="AS527" s="487" t="e">
        <f>+VLOOKUP($AJ527,Data_Validation!$A:$E,5,0)</f>
        <v>#N/A</v>
      </c>
      <c r="AT527" s="904">
        <f t="shared" si="34"/>
        <v>0</v>
      </c>
      <c r="AU527" s="488">
        <f t="shared" si="34"/>
        <v>0</v>
      </c>
      <c r="AV527" s="899">
        <f>IFERROR(INDEX(V527:AG527,1,MATCH(Parametres!$B$3,V$1:AG$1,0)-1)*IF(OR(C527="L",C527="S",C527="I"),-1,1),"")</f>
        <v>0</v>
      </c>
      <c r="AW527" s="899">
        <f t="shared" si="35"/>
        <v>0</v>
      </c>
      <c r="AX527" s="899">
        <f>INDEX(V527:AG527,1,MATCH(Parametres!$B$3,V$1:AG$1,0))*IF(OR(C527="L",C527="S",C527="I"),-1,1)</f>
        <v>0</v>
      </c>
      <c r="AY527" s="487" t="s">
        <v>337</v>
      </c>
      <c r="AZ527" s="487" t="e">
        <f>+VLOOKUP($AJ527,Data_Validation!$A:$E,5,0)</f>
        <v>#N/A</v>
      </c>
    </row>
    <row r="528" spans="36:52" ht="15" customHeight="1">
      <c r="AJ528" s="899">
        <f t="shared" si="32"/>
        <v>0</v>
      </c>
      <c r="AK528" s="899">
        <f t="shared" si="32"/>
        <v>0</v>
      </c>
      <c r="AL528" s="905">
        <f>IFERROR(INDEX(G528:R528,1,MATCH(Parametres!$B$3,G$1:R$1,0)-1)*IF(OR(F528="L",F528="S",F528="I"),-1,1),"")</f>
        <v>0</v>
      </c>
      <c r="AM528" s="905">
        <f t="shared" si="33"/>
        <v>0</v>
      </c>
      <c r="AN528" s="905">
        <f>INDEX(G528:R528,1,MATCH(Parametres!$B$3,G$1:R$1,0))*IF(OR(F528="L",F528="S",F528="I"),-1,1)</f>
        <v>0</v>
      </c>
      <c r="AO528" s="487" t="e">
        <f>+VLOOKUP($AJ528,Data_Validation!$A:$D,1,0)</f>
        <v>#N/A</v>
      </c>
      <c r="AP528" s="487" t="e">
        <f>+VLOOKUP($AJ528,Data_Validation!$A:$D,3,0)</f>
        <v>#N/A</v>
      </c>
      <c r="AQ528" s="487" t="e">
        <f>+VLOOKUP($AJ528,Data_Validation!$A:$D,4,0)</f>
        <v>#N/A</v>
      </c>
      <c r="AR528" s="487" t="s">
        <v>299</v>
      </c>
      <c r="AS528" s="487" t="e">
        <f>+VLOOKUP($AJ528,Data_Validation!$A:$E,5,0)</f>
        <v>#N/A</v>
      </c>
      <c r="AT528" s="904">
        <f t="shared" si="34"/>
        <v>0</v>
      </c>
      <c r="AU528" s="488">
        <f t="shared" si="34"/>
        <v>0</v>
      </c>
      <c r="AV528" s="899">
        <f>IFERROR(INDEX(V528:AG528,1,MATCH(Parametres!$B$3,V$1:AG$1,0)-1)*IF(OR(C528="L",C528="S",C528="I"),-1,1),"")</f>
        <v>0</v>
      </c>
      <c r="AW528" s="899">
        <f t="shared" si="35"/>
        <v>0</v>
      </c>
      <c r="AX528" s="899">
        <f>INDEX(V528:AG528,1,MATCH(Parametres!$B$3,V$1:AG$1,0))*IF(OR(C528="L",C528="S",C528="I"),-1,1)</f>
        <v>0</v>
      </c>
      <c r="AY528" s="487" t="s">
        <v>337</v>
      </c>
      <c r="AZ528" s="487" t="e">
        <f>+VLOOKUP($AJ528,Data_Validation!$A:$E,5,0)</f>
        <v>#N/A</v>
      </c>
    </row>
    <row r="529" spans="36:52" ht="15" customHeight="1">
      <c r="AJ529" s="899">
        <f t="shared" si="32"/>
        <v>0</v>
      </c>
      <c r="AK529" s="899">
        <f t="shared" si="32"/>
        <v>0</v>
      </c>
      <c r="AL529" s="905">
        <f>IFERROR(INDEX(G529:R529,1,MATCH(Parametres!$B$3,G$1:R$1,0)-1)*IF(OR(F529="L",F529="S",F529="I"),-1,1),"")</f>
        <v>0</v>
      </c>
      <c r="AM529" s="905">
        <f t="shared" si="33"/>
        <v>0</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f t="shared" si="34"/>
        <v>0</v>
      </c>
      <c r="AU529" s="488">
        <f t="shared" si="34"/>
        <v>0</v>
      </c>
      <c r="AV529" s="899">
        <f>IFERROR(INDEX(V529:AG529,1,MATCH(Parametres!$B$3,V$1:AG$1,0)-1)*IF(OR(C529="L",C529="S",C529="I"),-1,1),"")</f>
        <v>0</v>
      </c>
      <c r="AW529" s="899">
        <f t="shared" si="35"/>
        <v>0</v>
      </c>
      <c r="AX529" s="899">
        <f>INDEX(V529:AG529,1,MATCH(Parametres!$B$3,V$1:AG$1,0))*IF(OR(C529="L",C529="S",C529="I"),-1,1)</f>
        <v>0</v>
      </c>
      <c r="AY529" s="487" t="s">
        <v>337</v>
      </c>
      <c r="AZ529" s="487" t="e">
        <f>+VLOOKUP($AJ529,Data_Validation!$A:$E,5,0)</f>
        <v>#N/A</v>
      </c>
    </row>
    <row r="530" spans="36:52" ht="15" customHeight="1">
      <c r="AJ530" s="899">
        <f t="shared" si="32"/>
        <v>0</v>
      </c>
      <c r="AK530" s="899">
        <f t="shared" si="32"/>
        <v>0</v>
      </c>
      <c r="AL530" s="905">
        <f>IFERROR(INDEX(G530:R530,1,MATCH(Parametres!$B$3,G$1:R$1,0)-1)*IF(OR(F530="L",F530="S",F530="I"),-1,1),"")</f>
        <v>0</v>
      </c>
      <c r="AM530" s="905">
        <f t="shared" si="33"/>
        <v>0</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f t="shared" si="34"/>
        <v>0</v>
      </c>
      <c r="AU530" s="488">
        <f t="shared" si="34"/>
        <v>0</v>
      </c>
      <c r="AV530" s="899">
        <f>IFERROR(INDEX(V530:AG530,1,MATCH(Parametres!$B$3,V$1:AG$1,0)-1)*IF(OR(C530="L",C530="S",C530="I"),-1,1),"")</f>
        <v>0</v>
      </c>
      <c r="AW530" s="899">
        <f t="shared" si="35"/>
        <v>0</v>
      </c>
      <c r="AX530" s="899">
        <f>INDEX(V530:AG530,1,MATCH(Parametres!$B$3,V$1:AG$1,0))*IF(OR(C530="L",C530="S",C530="I"),-1,1)</f>
        <v>0</v>
      </c>
      <c r="AY530" s="487" t="s">
        <v>337</v>
      </c>
      <c r="AZ530" s="487" t="e">
        <f>+VLOOKUP($AJ530,Data_Validation!$A:$E,5,0)</f>
        <v>#N/A</v>
      </c>
    </row>
    <row r="531" spans="36:52" ht="15" customHeight="1">
      <c r="AJ531" s="899">
        <f t="shared" si="32"/>
        <v>0</v>
      </c>
      <c r="AK531" s="899">
        <f t="shared" si="32"/>
        <v>0</v>
      </c>
      <c r="AL531" s="905">
        <f>IFERROR(INDEX(G531:R531,1,MATCH(Parametres!$B$3,G$1:R$1,0)-1)*IF(OR(F531="L",F531="S",F531="I"),-1,1),"")</f>
        <v>0</v>
      </c>
      <c r="AM531" s="905">
        <f t="shared" si="33"/>
        <v>0</v>
      </c>
      <c r="AN531" s="905">
        <f>INDEX(G531:R531,1,MATCH(Parametres!$B$3,G$1:R$1,0))*IF(OR(F531="L",F531="S",F531="I"),-1,1)</f>
        <v>0</v>
      </c>
      <c r="AO531" s="487" t="e">
        <f>+VLOOKUP($AJ531,Data_Validation!$A:$D,1,0)</f>
        <v>#N/A</v>
      </c>
      <c r="AP531" s="487" t="e">
        <f>+VLOOKUP($AJ531,Data_Validation!$A:$D,3,0)</f>
        <v>#N/A</v>
      </c>
      <c r="AQ531" s="487" t="e">
        <f>+VLOOKUP($AJ531,Data_Validation!$A:$D,4,0)</f>
        <v>#N/A</v>
      </c>
      <c r="AR531" s="487" t="s">
        <v>299</v>
      </c>
      <c r="AS531" s="487" t="e">
        <f>+VLOOKUP($AJ531,Data_Validation!$A:$E,5,0)</f>
        <v>#N/A</v>
      </c>
      <c r="AT531" s="904">
        <f t="shared" si="34"/>
        <v>0</v>
      </c>
      <c r="AU531" s="488">
        <f t="shared" si="34"/>
        <v>0</v>
      </c>
      <c r="AV531" s="899">
        <f>IFERROR(INDEX(V531:AG531,1,MATCH(Parametres!$B$3,V$1:AG$1,0)-1)*IF(OR(C531="L",C531="S",C531="I"),-1,1),"")</f>
        <v>0</v>
      </c>
      <c r="AW531" s="899">
        <f t="shared" si="35"/>
        <v>0</v>
      </c>
      <c r="AX531" s="899">
        <f>INDEX(V531:AG531,1,MATCH(Parametres!$B$3,V$1:AG$1,0))*IF(OR(C531="L",C531="S",C531="I"),-1,1)</f>
        <v>0</v>
      </c>
      <c r="AY531" s="487" t="s">
        <v>337</v>
      </c>
      <c r="AZ531" s="487" t="e">
        <f>+VLOOKUP($AJ531,Data_Validation!$A:$E,5,0)</f>
        <v>#N/A</v>
      </c>
    </row>
    <row r="532" spans="36:52" ht="15" customHeight="1">
      <c r="AJ532" s="899">
        <f t="shared" ref="AJ532:AK595" si="36">C532</f>
        <v>0</v>
      </c>
      <c r="AK532" s="899">
        <f t="shared" si="36"/>
        <v>0</v>
      </c>
      <c r="AL532" s="905">
        <f>IFERROR(INDEX(G532:R532,1,MATCH(Parametres!$B$3,G$1:R$1,0)-1)*IF(OR(F532="L",F532="S",F532="I"),-1,1),"")</f>
        <v>0</v>
      </c>
      <c r="AM532" s="905">
        <f t="shared" si="33"/>
        <v>0</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f t="shared" si="34"/>
        <v>0</v>
      </c>
      <c r="AU532" s="488">
        <f t="shared" si="34"/>
        <v>0</v>
      </c>
      <c r="AV532" s="899">
        <f>IFERROR(INDEX(V532:AG532,1,MATCH(Parametres!$B$3,V$1:AG$1,0)-1)*IF(OR(C532="L",C532="S",C532="I"),-1,1),"")</f>
        <v>0</v>
      </c>
      <c r="AW532" s="899">
        <f t="shared" si="35"/>
        <v>0</v>
      </c>
      <c r="AX532" s="899">
        <f>INDEX(V532:AG532,1,MATCH(Parametres!$B$3,V$1:AG$1,0))*IF(OR(C532="L",C532="S",C532="I"),-1,1)</f>
        <v>0</v>
      </c>
      <c r="AY532" s="487" t="s">
        <v>337</v>
      </c>
      <c r="AZ532" s="487" t="e">
        <f>+VLOOKUP($AJ532,Data_Validation!$A:$E,5,0)</f>
        <v>#N/A</v>
      </c>
    </row>
    <row r="533" spans="36:52" ht="15" customHeight="1">
      <c r="AJ533" s="899">
        <f t="shared" si="36"/>
        <v>0</v>
      </c>
      <c r="AK533" s="899">
        <f t="shared" si="36"/>
        <v>0</v>
      </c>
      <c r="AL533" s="905">
        <f>IFERROR(INDEX(G533:R533,1,MATCH(Parametres!$B$3,G$1:R$1,0)-1)*IF(OR(F533="L",F533="S",F533="I"),-1,1),"")</f>
        <v>0</v>
      </c>
      <c r="AM533" s="905">
        <f t="shared" si="33"/>
        <v>0</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f t="shared" si="34"/>
        <v>0</v>
      </c>
      <c r="AU533" s="488">
        <f t="shared" si="34"/>
        <v>0</v>
      </c>
      <c r="AV533" s="899">
        <f>IFERROR(INDEX(V533:AG533,1,MATCH(Parametres!$B$3,V$1:AG$1,0)-1)*IF(OR(C533="L",C533="S",C533="I"),-1,1),"")</f>
        <v>0</v>
      </c>
      <c r="AW533" s="899">
        <f t="shared" si="35"/>
        <v>0</v>
      </c>
      <c r="AX533" s="899">
        <f>INDEX(V533:AG533,1,MATCH(Parametres!$B$3,V$1:AG$1,0))*IF(OR(C533="L",C533="S",C533="I"),-1,1)</f>
        <v>0</v>
      </c>
      <c r="AY533" s="487" t="s">
        <v>337</v>
      </c>
      <c r="AZ533" s="487" t="e">
        <f>+VLOOKUP($AJ533,Data_Validation!$A:$E,5,0)</f>
        <v>#N/A</v>
      </c>
    </row>
    <row r="534" spans="36:52" ht="15" customHeight="1">
      <c r="AJ534" s="899">
        <f t="shared" si="36"/>
        <v>0</v>
      </c>
      <c r="AK534" s="899">
        <f t="shared" si="36"/>
        <v>0</v>
      </c>
      <c r="AL534" s="905">
        <f>IFERROR(INDEX(G534:R534,1,MATCH(Parametres!$B$3,G$1:R$1,0)-1)*IF(OR(F534="L",F534="S",F534="I"),-1,1),"")</f>
        <v>0</v>
      </c>
      <c r="AM534" s="905">
        <f t="shared" si="33"/>
        <v>0</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f t="shared" si="34"/>
        <v>0</v>
      </c>
      <c r="AU534" s="488">
        <f t="shared" si="34"/>
        <v>0</v>
      </c>
      <c r="AV534" s="899">
        <f>IFERROR(INDEX(V534:AG534,1,MATCH(Parametres!$B$3,V$1:AG$1,0)-1)*IF(OR(C534="L",C534="S",C534="I"),-1,1),"")</f>
        <v>0</v>
      </c>
      <c r="AW534" s="899">
        <f t="shared" si="35"/>
        <v>0</v>
      </c>
      <c r="AX534" s="899">
        <f>INDEX(V534:AG534,1,MATCH(Parametres!$B$3,V$1:AG$1,0))*IF(OR(C534="L",C534="S",C534="I"),-1,1)</f>
        <v>0</v>
      </c>
      <c r="AY534" s="487" t="s">
        <v>337</v>
      </c>
      <c r="AZ534" s="487" t="e">
        <f>+VLOOKUP($AJ534,Data_Validation!$A:$E,5,0)</f>
        <v>#N/A</v>
      </c>
    </row>
    <row r="535" spans="36:52" ht="15" customHeight="1">
      <c r="AJ535" s="899">
        <f t="shared" si="36"/>
        <v>0</v>
      </c>
      <c r="AK535" s="899">
        <f t="shared" si="36"/>
        <v>0</v>
      </c>
      <c r="AL535" s="905">
        <f>IFERROR(INDEX(G535:R535,1,MATCH(Parametres!$B$3,G$1:R$1,0)-1)*IF(OR(F535="L",F535="S",F535="I"),-1,1),"")</f>
        <v>0</v>
      </c>
      <c r="AM535" s="905">
        <f t="shared" si="33"/>
        <v>0</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f t="shared" si="34"/>
        <v>0</v>
      </c>
      <c r="AU535" s="488">
        <f t="shared" si="34"/>
        <v>0</v>
      </c>
      <c r="AV535" s="899">
        <f>IFERROR(INDEX(V535:AG535,1,MATCH(Parametres!$B$3,V$1:AG$1,0)-1)*IF(OR(C535="L",C535="S",C535="I"),-1,1),"")</f>
        <v>0</v>
      </c>
      <c r="AW535" s="899">
        <f t="shared" si="35"/>
        <v>0</v>
      </c>
      <c r="AX535" s="899">
        <f>INDEX(V535:AG535,1,MATCH(Parametres!$B$3,V$1:AG$1,0))*IF(OR(C535="L",C535="S",C535="I"),-1,1)</f>
        <v>0</v>
      </c>
      <c r="AY535" s="487" t="s">
        <v>337</v>
      </c>
      <c r="AZ535" s="487" t="e">
        <f>+VLOOKUP($AJ535,Data_Validation!$A:$E,5,0)</f>
        <v>#N/A</v>
      </c>
    </row>
    <row r="536" spans="36:52" ht="15" customHeight="1">
      <c r="AJ536" s="899">
        <f t="shared" si="36"/>
        <v>0</v>
      </c>
      <c r="AK536" s="899">
        <f t="shared" si="36"/>
        <v>0</v>
      </c>
      <c r="AL536" s="905">
        <f>IFERROR(INDEX(G536:R536,1,MATCH(Parametres!$B$3,G$1:R$1,0)-1)*IF(OR(F536="L",F536="S",F536="I"),-1,1),"")</f>
        <v>0</v>
      </c>
      <c r="AM536" s="905">
        <f t="shared" si="33"/>
        <v>0</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f t="shared" si="34"/>
        <v>0</v>
      </c>
      <c r="AU536" s="488">
        <f t="shared" si="34"/>
        <v>0</v>
      </c>
      <c r="AV536" s="899">
        <f>IFERROR(INDEX(V536:AG536,1,MATCH(Parametres!$B$3,V$1:AG$1,0)-1)*IF(OR(C536="L",C536="S",C536="I"),-1,1),"")</f>
        <v>0</v>
      </c>
      <c r="AW536" s="899">
        <f t="shared" si="35"/>
        <v>0</v>
      </c>
      <c r="AX536" s="899">
        <f>INDEX(V536:AG536,1,MATCH(Parametres!$B$3,V$1:AG$1,0))*IF(OR(C536="L",C536="S",C536="I"),-1,1)</f>
        <v>0</v>
      </c>
      <c r="AY536" s="487" t="s">
        <v>337</v>
      </c>
      <c r="AZ536" s="487" t="e">
        <f>+VLOOKUP($AJ536,Data_Validation!$A:$E,5,0)</f>
        <v>#N/A</v>
      </c>
    </row>
    <row r="537" spans="36:52" ht="15" customHeight="1">
      <c r="AJ537" s="899">
        <f t="shared" si="36"/>
        <v>0</v>
      </c>
      <c r="AK537" s="899">
        <f t="shared" si="36"/>
        <v>0</v>
      </c>
      <c r="AL537" s="905">
        <f>IFERROR(INDEX(G537:R537,1,MATCH(Parametres!$B$3,G$1:R$1,0)-1)*IF(OR(F537="L",F537="S",F537="I"),-1,1),"")</f>
        <v>0</v>
      </c>
      <c r="AM537" s="905">
        <f t="shared" si="33"/>
        <v>0</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f t="shared" si="34"/>
        <v>0</v>
      </c>
      <c r="AU537" s="488">
        <f t="shared" si="34"/>
        <v>0</v>
      </c>
      <c r="AV537" s="899">
        <f>IFERROR(INDEX(V537:AG537,1,MATCH(Parametres!$B$3,V$1:AG$1,0)-1)*IF(OR(C537="L",C537="S",C537="I"),-1,1),"")</f>
        <v>0</v>
      </c>
      <c r="AW537" s="899">
        <f t="shared" si="35"/>
        <v>0</v>
      </c>
      <c r="AX537" s="899">
        <f>INDEX(V537:AG537,1,MATCH(Parametres!$B$3,V$1:AG$1,0))*IF(OR(C537="L",C537="S",C537="I"),-1,1)</f>
        <v>0</v>
      </c>
      <c r="AY537" s="487" t="s">
        <v>337</v>
      </c>
      <c r="AZ537" s="487" t="e">
        <f>+VLOOKUP($AJ537,Data_Validation!$A:$E,5,0)</f>
        <v>#N/A</v>
      </c>
    </row>
    <row r="538" spans="36:52" ht="15" customHeight="1">
      <c r="AJ538" s="899">
        <f t="shared" si="36"/>
        <v>0</v>
      </c>
      <c r="AK538" s="899">
        <f t="shared" si="36"/>
        <v>0</v>
      </c>
      <c r="AL538" s="905">
        <f>IFERROR(INDEX(G538:R538,1,MATCH(Parametres!$B$3,G$1:R$1,0)-1)*IF(OR(F538="L",F538="S",F538="I"),-1,1),"")</f>
        <v>0</v>
      </c>
      <c r="AM538" s="905">
        <f t="shared" si="33"/>
        <v>0</v>
      </c>
      <c r="AN538" s="905">
        <f>INDEX(G538:R538,1,MATCH(Parametres!$B$3,G$1:R$1,0))*IF(OR(F538="L",F538="S",F538="I"),-1,1)</f>
        <v>0</v>
      </c>
      <c r="AO538" s="487" t="e">
        <f>+VLOOKUP($AJ538,Data_Validation!$A:$D,1,0)</f>
        <v>#N/A</v>
      </c>
      <c r="AP538" s="487" t="e">
        <f>+VLOOKUP($AJ538,Data_Validation!$A:$D,3,0)</f>
        <v>#N/A</v>
      </c>
      <c r="AQ538" s="487" t="e">
        <f>+VLOOKUP($AJ538,Data_Validation!$A:$D,4,0)</f>
        <v>#N/A</v>
      </c>
      <c r="AR538" s="487" t="s">
        <v>299</v>
      </c>
      <c r="AS538" s="487" t="e">
        <f>+VLOOKUP($AJ538,Data_Validation!$A:$E,5,0)</f>
        <v>#N/A</v>
      </c>
      <c r="AT538" s="904">
        <f t="shared" si="34"/>
        <v>0</v>
      </c>
      <c r="AU538" s="488">
        <f t="shared" si="34"/>
        <v>0</v>
      </c>
      <c r="AV538" s="899">
        <f>IFERROR(INDEX(V538:AG538,1,MATCH(Parametres!$B$3,V$1:AG$1,0)-1)*IF(OR(C538="L",C538="S",C538="I"),-1,1),"")</f>
        <v>0</v>
      </c>
      <c r="AW538" s="899">
        <f t="shared" si="35"/>
        <v>0</v>
      </c>
      <c r="AX538" s="899">
        <f>INDEX(V538:AG538,1,MATCH(Parametres!$B$3,V$1:AG$1,0))*IF(OR(C538="L",C538="S",C538="I"),-1,1)</f>
        <v>0</v>
      </c>
      <c r="AY538" s="487" t="s">
        <v>337</v>
      </c>
      <c r="AZ538" s="487" t="e">
        <f>+VLOOKUP($AJ538,Data_Validation!$A:$E,5,0)</f>
        <v>#N/A</v>
      </c>
    </row>
    <row r="539" spans="36:52" ht="15" customHeight="1">
      <c r="AJ539" s="899">
        <f t="shared" si="36"/>
        <v>0</v>
      </c>
      <c r="AK539" s="899">
        <f t="shared" si="36"/>
        <v>0</v>
      </c>
      <c r="AL539" s="905">
        <f>IFERROR(INDEX(G539:R539,1,MATCH(Parametres!$B$3,G$1:R$1,0)-1)*IF(OR(F539="L",F539="S",F539="I"),-1,1),"")</f>
        <v>0</v>
      </c>
      <c r="AM539" s="905">
        <f t="shared" si="33"/>
        <v>0</v>
      </c>
      <c r="AN539" s="905">
        <f>INDEX(G539:R539,1,MATCH(Parametres!$B$3,G$1:R$1,0))*IF(OR(F539="L",F539="S",F539="I"),-1,1)</f>
        <v>0</v>
      </c>
      <c r="AO539" s="487" t="e">
        <f>+VLOOKUP($AJ539,Data_Validation!$A:$D,1,0)</f>
        <v>#N/A</v>
      </c>
      <c r="AP539" s="487" t="e">
        <f>+VLOOKUP($AJ539,Data_Validation!$A:$D,3,0)</f>
        <v>#N/A</v>
      </c>
      <c r="AQ539" s="487" t="e">
        <f>+VLOOKUP($AJ539,Data_Validation!$A:$D,4,0)</f>
        <v>#N/A</v>
      </c>
      <c r="AR539" s="487" t="s">
        <v>299</v>
      </c>
      <c r="AS539" s="487" t="e">
        <f>+VLOOKUP($AJ539,Data_Validation!$A:$E,5,0)</f>
        <v>#N/A</v>
      </c>
      <c r="AT539" s="904">
        <f t="shared" si="34"/>
        <v>0</v>
      </c>
      <c r="AU539" s="488">
        <f t="shared" si="34"/>
        <v>0</v>
      </c>
      <c r="AV539" s="899">
        <f>IFERROR(INDEX(V539:AG539,1,MATCH(Parametres!$B$3,V$1:AG$1,0)-1)*IF(OR(C539="L",C539="S",C539="I"),-1,1),"")</f>
        <v>0</v>
      </c>
      <c r="AW539" s="899">
        <f t="shared" si="35"/>
        <v>0</v>
      </c>
      <c r="AX539" s="899">
        <f>INDEX(V539:AG539,1,MATCH(Parametres!$B$3,V$1:AG$1,0))*IF(OR(C539="L",C539="S",C539="I"),-1,1)</f>
        <v>0</v>
      </c>
      <c r="AY539" s="487" t="s">
        <v>337</v>
      </c>
      <c r="AZ539" s="487" t="e">
        <f>+VLOOKUP($AJ539,Data_Validation!$A:$E,5,0)</f>
        <v>#N/A</v>
      </c>
    </row>
    <row r="540" spans="36:52" ht="15" customHeight="1">
      <c r="AJ540" s="899">
        <f t="shared" si="36"/>
        <v>0</v>
      </c>
      <c r="AK540" s="899">
        <f t="shared" si="36"/>
        <v>0</v>
      </c>
      <c r="AL540" s="905">
        <f>IFERROR(INDEX(G540:R540,1,MATCH(Parametres!$B$3,G$1:R$1,0)-1)*IF(OR(F540="L",F540="S",F540="I"),-1,1),"")</f>
        <v>0</v>
      </c>
      <c r="AM540" s="905">
        <f t="shared" si="33"/>
        <v>0</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f t="shared" si="34"/>
        <v>0</v>
      </c>
      <c r="AU540" s="488">
        <f t="shared" si="34"/>
        <v>0</v>
      </c>
      <c r="AV540" s="899">
        <f>IFERROR(INDEX(V540:AG540,1,MATCH(Parametres!$B$3,V$1:AG$1,0)-1)*IF(OR(C540="L",C540="S",C540="I"),-1,1),"")</f>
        <v>0</v>
      </c>
      <c r="AW540" s="899">
        <f t="shared" si="35"/>
        <v>0</v>
      </c>
      <c r="AX540" s="899">
        <f>INDEX(V540:AG540,1,MATCH(Parametres!$B$3,V$1:AG$1,0))*IF(OR(C540="L",C540="S",C540="I"),-1,1)</f>
        <v>0</v>
      </c>
      <c r="AY540" s="487" t="s">
        <v>337</v>
      </c>
      <c r="AZ540" s="487" t="e">
        <f>+VLOOKUP($AJ540,Data_Validation!$A:$E,5,0)</f>
        <v>#N/A</v>
      </c>
    </row>
    <row r="541" spans="36:52" ht="15" customHeight="1">
      <c r="AJ541" s="899">
        <f t="shared" si="36"/>
        <v>0</v>
      </c>
      <c r="AK541" s="899">
        <f t="shared" si="36"/>
        <v>0</v>
      </c>
      <c r="AL541" s="905">
        <f>IFERROR(INDEX(G541:R541,1,MATCH(Parametres!$B$3,G$1:R$1,0)-1)*IF(OR(F541="L",F541="S",F541="I"),-1,1),"")</f>
        <v>0</v>
      </c>
      <c r="AM541" s="905">
        <f t="shared" si="33"/>
        <v>0</v>
      </c>
      <c r="AN541" s="905">
        <f>INDEX(G541:R541,1,MATCH(Parametres!$B$3,G$1:R$1,0))*IF(OR(F541="L",F541="S",F541="I"),-1,1)</f>
        <v>0</v>
      </c>
      <c r="AO541" s="487" t="e">
        <f>+VLOOKUP($AJ541,Data_Validation!$A:$D,1,0)</f>
        <v>#N/A</v>
      </c>
      <c r="AP541" s="487" t="e">
        <f>+VLOOKUP($AJ541,Data_Validation!$A:$D,3,0)</f>
        <v>#N/A</v>
      </c>
      <c r="AQ541" s="487" t="e">
        <f>+VLOOKUP($AJ541,Data_Validation!$A:$D,4,0)</f>
        <v>#N/A</v>
      </c>
      <c r="AR541" s="487" t="s">
        <v>299</v>
      </c>
      <c r="AS541" s="487" t="e">
        <f>+VLOOKUP($AJ541,Data_Validation!$A:$E,5,0)</f>
        <v>#N/A</v>
      </c>
      <c r="AT541" s="904">
        <f t="shared" si="34"/>
        <v>0</v>
      </c>
      <c r="AU541" s="488">
        <f t="shared" si="34"/>
        <v>0</v>
      </c>
      <c r="AV541" s="899">
        <f>IFERROR(INDEX(V541:AG541,1,MATCH(Parametres!$B$3,V$1:AG$1,0)-1)*IF(OR(C541="L",C541="S",C541="I"),-1,1),"")</f>
        <v>0</v>
      </c>
      <c r="AW541" s="899">
        <f t="shared" si="35"/>
        <v>0</v>
      </c>
      <c r="AX541" s="899">
        <f>INDEX(V541:AG541,1,MATCH(Parametres!$B$3,V$1:AG$1,0))*IF(OR(C541="L",C541="S",C541="I"),-1,1)</f>
        <v>0</v>
      </c>
      <c r="AY541" s="487" t="s">
        <v>337</v>
      </c>
      <c r="AZ541" s="487" t="e">
        <f>+VLOOKUP($AJ541,Data_Validation!$A:$E,5,0)</f>
        <v>#N/A</v>
      </c>
    </row>
    <row r="542" spans="36:52" ht="15" customHeight="1">
      <c r="AJ542" s="899">
        <f t="shared" si="36"/>
        <v>0</v>
      </c>
      <c r="AK542" s="899">
        <f t="shared" si="36"/>
        <v>0</v>
      </c>
      <c r="AL542" s="905">
        <f>IFERROR(INDEX(G542:R542,1,MATCH(Parametres!$B$3,G$1:R$1,0)-1)*IF(OR(F542="L",F542="S",F542="I"),-1,1),"")</f>
        <v>0</v>
      </c>
      <c r="AM542" s="905">
        <f t="shared" si="33"/>
        <v>0</v>
      </c>
      <c r="AN542" s="905">
        <f>INDEX(G542:R542,1,MATCH(Parametres!$B$3,G$1:R$1,0))*IF(OR(F542="L",F542="S",F542="I"),-1,1)</f>
        <v>0</v>
      </c>
      <c r="AO542" s="487" t="e">
        <f>+VLOOKUP($AJ542,Data_Validation!$A:$D,1,0)</f>
        <v>#N/A</v>
      </c>
      <c r="AP542" s="487" t="e">
        <f>+VLOOKUP($AJ542,Data_Validation!$A:$D,3,0)</f>
        <v>#N/A</v>
      </c>
      <c r="AQ542" s="487" t="e">
        <f>+VLOOKUP($AJ542,Data_Validation!$A:$D,4,0)</f>
        <v>#N/A</v>
      </c>
      <c r="AR542" s="487" t="s">
        <v>299</v>
      </c>
      <c r="AS542" s="487" t="e">
        <f>+VLOOKUP($AJ542,Data_Validation!$A:$E,5,0)</f>
        <v>#N/A</v>
      </c>
      <c r="AT542" s="904">
        <f t="shared" si="34"/>
        <v>0</v>
      </c>
      <c r="AU542" s="488">
        <f t="shared" si="34"/>
        <v>0</v>
      </c>
      <c r="AV542" s="899">
        <f>IFERROR(INDEX(V542:AG542,1,MATCH(Parametres!$B$3,V$1:AG$1,0)-1)*IF(OR(C542="L",C542="S",C542="I"),-1,1),"")</f>
        <v>0</v>
      </c>
      <c r="AW542" s="899">
        <f t="shared" si="35"/>
        <v>0</v>
      </c>
      <c r="AX542" s="899">
        <f>INDEX(V542:AG542,1,MATCH(Parametres!$B$3,V$1:AG$1,0))*IF(OR(C542="L",C542="S",C542="I"),-1,1)</f>
        <v>0</v>
      </c>
      <c r="AY542" s="487" t="s">
        <v>337</v>
      </c>
      <c r="AZ542" s="487" t="e">
        <f>+VLOOKUP($AJ542,Data_Validation!$A:$E,5,0)</f>
        <v>#N/A</v>
      </c>
    </row>
    <row r="543" spans="36:52" ht="15" customHeight="1">
      <c r="AJ543" s="899">
        <f t="shared" si="36"/>
        <v>0</v>
      </c>
      <c r="AK543" s="899">
        <f t="shared" si="36"/>
        <v>0</v>
      </c>
      <c r="AL543" s="905">
        <f>IFERROR(INDEX(G543:R543,1,MATCH(Parametres!$B$3,G$1:R$1,0)-1)*IF(OR(F543="L",F543="S",F543="I"),-1,1),"")</f>
        <v>0</v>
      </c>
      <c r="AM543" s="905">
        <f t="shared" si="33"/>
        <v>0</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f t="shared" si="34"/>
        <v>0</v>
      </c>
      <c r="AU543" s="488">
        <f t="shared" si="34"/>
        <v>0</v>
      </c>
      <c r="AV543" s="899">
        <f>IFERROR(INDEX(V543:AG543,1,MATCH(Parametres!$B$3,V$1:AG$1,0)-1)*IF(OR(C543="L",C543="S",C543="I"),-1,1),"")</f>
        <v>0</v>
      </c>
      <c r="AW543" s="899">
        <f t="shared" si="35"/>
        <v>0</v>
      </c>
      <c r="AX543" s="899">
        <f>INDEX(V543:AG543,1,MATCH(Parametres!$B$3,V$1:AG$1,0))*IF(OR(C543="L",C543="S",C543="I"),-1,1)</f>
        <v>0</v>
      </c>
      <c r="AY543" s="487" t="s">
        <v>337</v>
      </c>
      <c r="AZ543" s="487" t="e">
        <f>+VLOOKUP($AJ543,Data_Validation!$A:$E,5,0)</f>
        <v>#N/A</v>
      </c>
    </row>
    <row r="544" spans="36:52" ht="15" customHeight="1">
      <c r="AJ544" s="899">
        <f t="shared" si="36"/>
        <v>0</v>
      </c>
      <c r="AK544" s="899">
        <f t="shared" si="36"/>
        <v>0</v>
      </c>
      <c r="AL544" s="905">
        <f>IFERROR(INDEX(G544:R544,1,MATCH(Parametres!$B$3,G$1:R$1,0)-1)*IF(OR(F544="L",F544="S",F544="I"),-1,1),"")</f>
        <v>0</v>
      </c>
      <c r="AM544" s="905">
        <f t="shared" si="33"/>
        <v>0</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f t="shared" si="34"/>
        <v>0</v>
      </c>
      <c r="AU544" s="488">
        <f t="shared" si="34"/>
        <v>0</v>
      </c>
      <c r="AV544" s="899">
        <f>IFERROR(INDEX(V544:AG544,1,MATCH(Parametres!$B$3,V$1:AG$1,0)-1)*IF(OR(C544="L",C544="S",C544="I"),-1,1),"")</f>
        <v>0</v>
      </c>
      <c r="AW544" s="899">
        <f t="shared" si="35"/>
        <v>0</v>
      </c>
      <c r="AX544" s="899">
        <f>INDEX(V544:AG544,1,MATCH(Parametres!$B$3,V$1:AG$1,0))*IF(OR(C544="L",C544="S",C544="I"),-1,1)</f>
        <v>0</v>
      </c>
      <c r="AY544" s="487" t="s">
        <v>337</v>
      </c>
      <c r="AZ544" s="487" t="e">
        <f>+VLOOKUP($AJ544,Data_Validation!$A:$E,5,0)</f>
        <v>#N/A</v>
      </c>
    </row>
    <row r="545" spans="36:52" ht="15" customHeight="1">
      <c r="AJ545" s="899">
        <f t="shared" si="36"/>
        <v>0</v>
      </c>
      <c r="AK545" s="899">
        <f t="shared" si="36"/>
        <v>0</v>
      </c>
      <c r="AL545" s="905">
        <f>IFERROR(INDEX(G545:R545,1,MATCH(Parametres!$B$3,G$1:R$1,0)-1)*IF(OR(F545="L",F545="S",F545="I"),-1,1),"")</f>
        <v>0</v>
      </c>
      <c r="AM545" s="905">
        <f t="shared" si="33"/>
        <v>0</v>
      </c>
      <c r="AN545" s="905">
        <f>INDEX(G545:R545,1,MATCH(Parametres!$B$3,G$1:R$1,0))*IF(OR(F545="L",F545="S",F545="I"),-1,1)</f>
        <v>0</v>
      </c>
      <c r="AO545" s="487" t="e">
        <f>+VLOOKUP($AJ545,Data_Validation!$A:$D,1,0)</f>
        <v>#N/A</v>
      </c>
      <c r="AP545" s="487" t="e">
        <f>+VLOOKUP($AJ545,Data_Validation!$A:$D,3,0)</f>
        <v>#N/A</v>
      </c>
      <c r="AQ545" s="487" t="e">
        <f>+VLOOKUP($AJ545,Data_Validation!$A:$D,4,0)</f>
        <v>#N/A</v>
      </c>
      <c r="AR545" s="487" t="s">
        <v>299</v>
      </c>
      <c r="AS545" s="487" t="e">
        <f>+VLOOKUP($AJ545,Data_Validation!$A:$E,5,0)</f>
        <v>#N/A</v>
      </c>
      <c r="AT545" s="904">
        <f t="shared" si="34"/>
        <v>0</v>
      </c>
      <c r="AU545" s="488">
        <f t="shared" si="34"/>
        <v>0</v>
      </c>
      <c r="AV545" s="899">
        <f>IFERROR(INDEX(V545:AG545,1,MATCH(Parametres!$B$3,V$1:AG$1,0)-1)*IF(OR(C545="L",C545="S",C545="I"),-1,1),"")</f>
        <v>0</v>
      </c>
      <c r="AW545" s="899">
        <f t="shared" si="35"/>
        <v>0</v>
      </c>
      <c r="AX545" s="899">
        <f>INDEX(V545:AG545,1,MATCH(Parametres!$B$3,V$1:AG$1,0))*IF(OR(C545="L",C545="S",C545="I"),-1,1)</f>
        <v>0</v>
      </c>
      <c r="AY545" s="487" t="s">
        <v>337</v>
      </c>
      <c r="AZ545" s="487" t="e">
        <f>+VLOOKUP($AJ545,Data_Validation!$A:$E,5,0)</f>
        <v>#N/A</v>
      </c>
    </row>
    <row r="546" spans="36:52" ht="15" customHeight="1">
      <c r="AJ546" s="899">
        <f t="shared" si="36"/>
        <v>0</v>
      </c>
      <c r="AK546" s="899">
        <f t="shared" si="36"/>
        <v>0</v>
      </c>
      <c r="AL546" s="905">
        <f>IFERROR(INDEX(G546:R546,1,MATCH(Parametres!$B$3,G$1:R$1,0)-1)*IF(OR(F546="L",F546="S",F546="I"),-1,1),"")</f>
        <v>0</v>
      </c>
      <c r="AM546" s="905">
        <f t="shared" si="33"/>
        <v>0</v>
      </c>
      <c r="AN546" s="905">
        <f>INDEX(G546:R546,1,MATCH(Parametres!$B$3,G$1:R$1,0))*IF(OR(F546="L",F546="S",F546="I"),-1,1)</f>
        <v>0</v>
      </c>
      <c r="AO546" s="487" t="e">
        <f>+VLOOKUP($AJ546,Data_Validation!$A:$D,1,0)</f>
        <v>#N/A</v>
      </c>
      <c r="AP546" s="487" t="e">
        <f>+VLOOKUP($AJ546,Data_Validation!$A:$D,3,0)</f>
        <v>#N/A</v>
      </c>
      <c r="AQ546" s="487" t="e">
        <f>+VLOOKUP($AJ546,Data_Validation!$A:$D,4,0)</f>
        <v>#N/A</v>
      </c>
      <c r="AR546" s="487" t="s">
        <v>299</v>
      </c>
      <c r="AS546" s="487" t="e">
        <f>+VLOOKUP($AJ546,Data_Validation!$A:$E,5,0)</f>
        <v>#N/A</v>
      </c>
      <c r="AT546" s="904">
        <f t="shared" si="34"/>
        <v>0</v>
      </c>
      <c r="AU546" s="488">
        <f t="shared" si="34"/>
        <v>0</v>
      </c>
      <c r="AV546" s="899">
        <f>IFERROR(INDEX(V546:AG546,1,MATCH(Parametres!$B$3,V$1:AG$1,0)-1)*IF(OR(C546="L",C546="S",C546="I"),-1,1),"")</f>
        <v>0</v>
      </c>
      <c r="AW546" s="899">
        <f t="shared" si="35"/>
        <v>0</v>
      </c>
      <c r="AX546" s="899">
        <f>INDEX(V546:AG546,1,MATCH(Parametres!$B$3,V$1:AG$1,0))*IF(OR(C546="L",C546="S",C546="I"),-1,1)</f>
        <v>0</v>
      </c>
      <c r="AY546" s="487" t="s">
        <v>337</v>
      </c>
      <c r="AZ546" s="487" t="e">
        <f>+VLOOKUP($AJ546,Data_Validation!$A:$E,5,0)</f>
        <v>#N/A</v>
      </c>
    </row>
    <row r="547" spans="36:52" ht="15" customHeight="1">
      <c r="AJ547" s="899">
        <f t="shared" si="36"/>
        <v>0</v>
      </c>
      <c r="AK547" s="899">
        <f t="shared" si="36"/>
        <v>0</v>
      </c>
      <c r="AL547" s="905">
        <f>IFERROR(INDEX(G547:R547,1,MATCH(Parametres!$B$3,G$1:R$1,0)-1)*IF(OR(F547="L",F547="S",F547="I"),-1,1),"")</f>
        <v>0</v>
      </c>
      <c r="AM547" s="905">
        <f t="shared" si="33"/>
        <v>0</v>
      </c>
      <c r="AN547" s="905">
        <f>INDEX(G547:R547,1,MATCH(Parametres!$B$3,G$1:R$1,0))*IF(OR(F547="L",F547="S",F547="I"),-1,1)</f>
        <v>0</v>
      </c>
      <c r="AO547" s="487" t="e">
        <f>+VLOOKUP($AJ547,Data_Validation!$A:$D,1,0)</f>
        <v>#N/A</v>
      </c>
      <c r="AP547" s="487" t="e">
        <f>+VLOOKUP($AJ547,Data_Validation!$A:$D,3,0)</f>
        <v>#N/A</v>
      </c>
      <c r="AQ547" s="487" t="e">
        <f>+VLOOKUP($AJ547,Data_Validation!$A:$D,4,0)</f>
        <v>#N/A</v>
      </c>
      <c r="AR547" s="487" t="s">
        <v>299</v>
      </c>
      <c r="AS547" s="487" t="e">
        <f>+VLOOKUP($AJ547,Data_Validation!$A:$E,5,0)</f>
        <v>#N/A</v>
      </c>
      <c r="AT547" s="904">
        <f t="shared" si="34"/>
        <v>0</v>
      </c>
      <c r="AU547" s="488">
        <f t="shared" si="34"/>
        <v>0</v>
      </c>
      <c r="AV547" s="899">
        <f>IFERROR(INDEX(V547:AG547,1,MATCH(Parametres!$B$3,V$1:AG$1,0)-1)*IF(OR(C547="L",C547="S",C547="I"),-1,1),"")</f>
        <v>0</v>
      </c>
      <c r="AW547" s="899">
        <f t="shared" si="35"/>
        <v>0</v>
      </c>
      <c r="AX547" s="899">
        <f>INDEX(V547:AG547,1,MATCH(Parametres!$B$3,V$1:AG$1,0))*IF(OR(C547="L",C547="S",C547="I"),-1,1)</f>
        <v>0</v>
      </c>
      <c r="AY547" s="487" t="s">
        <v>337</v>
      </c>
      <c r="AZ547" s="487" t="e">
        <f>+VLOOKUP($AJ547,Data_Validation!$A:$E,5,0)</f>
        <v>#N/A</v>
      </c>
    </row>
    <row r="548" spans="36:52" ht="15" customHeight="1">
      <c r="AJ548" s="899">
        <f t="shared" si="36"/>
        <v>0</v>
      </c>
      <c r="AK548" s="899">
        <f t="shared" si="36"/>
        <v>0</v>
      </c>
      <c r="AL548" s="905">
        <f>IFERROR(INDEX(G548:R548,1,MATCH(Parametres!$B$3,G$1:R$1,0)-1)*IF(OR(F548="L",F548="S",F548="I"),-1,1),"")</f>
        <v>0</v>
      </c>
      <c r="AM548" s="905">
        <f t="shared" si="33"/>
        <v>0</v>
      </c>
      <c r="AN548" s="905">
        <f>INDEX(G548:R548,1,MATCH(Parametres!$B$3,G$1:R$1,0))*IF(OR(F548="L",F548="S",F548="I"),-1,1)</f>
        <v>0</v>
      </c>
      <c r="AO548" s="487" t="e">
        <f>+VLOOKUP($AJ548,Data_Validation!$A:$D,1,0)</f>
        <v>#N/A</v>
      </c>
      <c r="AP548" s="487" t="e">
        <f>+VLOOKUP($AJ548,Data_Validation!$A:$D,3,0)</f>
        <v>#N/A</v>
      </c>
      <c r="AQ548" s="487" t="e">
        <f>+VLOOKUP($AJ548,Data_Validation!$A:$D,4,0)</f>
        <v>#N/A</v>
      </c>
      <c r="AR548" s="487" t="s">
        <v>299</v>
      </c>
      <c r="AS548" s="487" t="e">
        <f>+VLOOKUP($AJ548,Data_Validation!$A:$E,5,0)</f>
        <v>#N/A</v>
      </c>
      <c r="AT548" s="904">
        <f t="shared" si="34"/>
        <v>0</v>
      </c>
      <c r="AU548" s="488">
        <f t="shared" si="34"/>
        <v>0</v>
      </c>
      <c r="AV548" s="899">
        <f>IFERROR(INDEX(V548:AG548,1,MATCH(Parametres!$B$3,V$1:AG$1,0)-1)*IF(OR(C548="L",C548="S",C548="I"),-1,1),"")</f>
        <v>0</v>
      </c>
      <c r="AW548" s="899">
        <f t="shared" si="35"/>
        <v>0</v>
      </c>
      <c r="AX548" s="899">
        <f>INDEX(V548:AG548,1,MATCH(Parametres!$B$3,V$1:AG$1,0))*IF(OR(C548="L",C548="S",C548="I"),-1,1)</f>
        <v>0</v>
      </c>
      <c r="AY548" s="487" t="s">
        <v>337</v>
      </c>
      <c r="AZ548" s="487" t="e">
        <f>+VLOOKUP($AJ548,Data_Validation!$A:$E,5,0)</f>
        <v>#N/A</v>
      </c>
    </row>
    <row r="549" spans="36:52" ht="15" customHeight="1">
      <c r="AJ549" s="899">
        <f t="shared" si="36"/>
        <v>0</v>
      </c>
      <c r="AK549" s="899">
        <f t="shared" si="36"/>
        <v>0</v>
      </c>
      <c r="AL549" s="905">
        <f>IFERROR(INDEX(G549:R549,1,MATCH(Parametres!$B$3,G$1:R$1,0)-1)*IF(OR(F549="L",F549="S",F549="I"),-1,1),"")</f>
        <v>0</v>
      </c>
      <c r="AM549" s="905">
        <f t="shared" si="33"/>
        <v>0</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f t="shared" si="34"/>
        <v>0</v>
      </c>
      <c r="AU549" s="488">
        <f t="shared" si="34"/>
        <v>0</v>
      </c>
      <c r="AV549" s="899">
        <f>IFERROR(INDEX(V549:AG549,1,MATCH(Parametres!$B$3,V$1:AG$1,0)-1)*IF(OR(C549="L",C549="S",C549="I"),-1,1),"")</f>
        <v>0</v>
      </c>
      <c r="AW549" s="899">
        <f t="shared" si="35"/>
        <v>0</v>
      </c>
      <c r="AX549" s="899">
        <f>INDEX(V549:AG549,1,MATCH(Parametres!$B$3,V$1:AG$1,0))*IF(OR(C549="L",C549="S",C549="I"),-1,1)</f>
        <v>0</v>
      </c>
      <c r="AY549" s="487" t="s">
        <v>337</v>
      </c>
      <c r="AZ549" s="487" t="e">
        <f>+VLOOKUP($AJ549,Data_Validation!$A:$E,5,0)</f>
        <v>#N/A</v>
      </c>
    </row>
    <row r="550" spans="36:52" ht="15" customHeight="1">
      <c r="AJ550" s="899">
        <f t="shared" si="36"/>
        <v>0</v>
      </c>
      <c r="AK550" s="899">
        <f t="shared" si="36"/>
        <v>0</v>
      </c>
      <c r="AL550" s="905">
        <f>IFERROR(INDEX(G550:R550,1,MATCH(Parametres!$B$3,G$1:R$1,0)-1)*IF(OR(F550="L",F550="S",F550="I"),-1,1),"")</f>
        <v>0</v>
      </c>
      <c r="AM550" s="905">
        <f t="shared" si="33"/>
        <v>0</v>
      </c>
      <c r="AN550" s="905">
        <f>INDEX(G550:R550,1,MATCH(Parametres!$B$3,G$1:R$1,0))*IF(OR(F550="L",F550="S",F550="I"),-1,1)</f>
        <v>0</v>
      </c>
      <c r="AO550" s="487" t="e">
        <f>+VLOOKUP($AJ550,Data_Validation!$A:$D,1,0)</f>
        <v>#N/A</v>
      </c>
      <c r="AP550" s="487" t="e">
        <f>+VLOOKUP($AJ550,Data_Validation!$A:$D,3,0)</f>
        <v>#N/A</v>
      </c>
      <c r="AQ550" s="487" t="e">
        <f>+VLOOKUP($AJ550,Data_Validation!$A:$D,4,0)</f>
        <v>#N/A</v>
      </c>
      <c r="AR550" s="487" t="s">
        <v>299</v>
      </c>
      <c r="AS550" s="487" t="e">
        <f>+VLOOKUP($AJ550,Data_Validation!$A:$E,5,0)</f>
        <v>#N/A</v>
      </c>
      <c r="AT550" s="904">
        <f t="shared" si="34"/>
        <v>0</v>
      </c>
      <c r="AU550" s="488">
        <f t="shared" si="34"/>
        <v>0</v>
      </c>
      <c r="AV550" s="899">
        <f>IFERROR(INDEX(V550:AG550,1,MATCH(Parametres!$B$3,V$1:AG$1,0)-1)*IF(OR(C550="L",C550="S",C550="I"),-1,1),"")</f>
        <v>0</v>
      </c>
      <c r="AW550" s="899">
        <f t="shared" si="35"/>
        <v>0</v>
      </c>
      <c r="AX550" s="899">
        <f>INDEX(V550:AG550,1,MATCH(Parametres!$B$3,V$1:AG$1,0))*IF(OR(C550="L",C550="S",C550="I"),-1,1)</f>
        <v>0</v>
      </c>
      <c r="AY550" s="487" t="s">
        <v>337</v>
      </c>
      <c r="AZ550" s="487" t="e">
        <f>+VLOOKUP($AJ550,Data_Validation!$A:$E,5,0)</f>
        <v>#N/A</v>
      </c>
    </row>
    <row r="551" spans="36:52" ht="15" customHeight="1">
      <c r="AJ551" s="899">
        <f t="shared" si="36"/>
        <v>0</v>
      </c>
      <c r="AK551" s="899">
        <f t="shared" si="36"/>
        <v>0</v>
      </c>
      <c r="AL551" s="905">
        <f>IFERROR(INDEX(G551:R551,1,MATCH(Parametres!$B$3,G$1:R$1,0)-1)*IF(OR(F551="L",F551="S",F551="I"),-1,1),"")</f>
        <v>0</v>
      </c>
      <c r="AM551" s="905">
        <f t="shared" si="33"/>
        <v>0</v>
      </c>
      <c r="AN551" s="905">
        <f>INDEX(G551:R551,1,MATCH(Parametres!$B$3,G$1:R$1,0))*IF(OR(F551="L",F551="S",F551="I"),-1,1)</f>
        <v>0</v>
      </c>
      <c r="AO551" s="487" t="e">
        <f>+VLOOKUP($AJ551,Data_Validation!$A:$D,1,0)</f>
        <v>#N/A</v>
      </c>
      <c r="AP551" s="487" t="e">
        <f>+VLOOKUP($AJ551,Data_Validation!$A:$D,3,0)</f>
        <v>#N/A</v>
      </c>
      <c r="AQ551" s="487" t="e">
        <f>+VLOOKUP($AJ551,Data_Validation!$A:$D,4,0)</f>
        <v>#N/A</v>
      </c>
      <c r="AR551" s="487" t="s">
        <v>299</v>
      </c>
      <c r="AS551" s="487" t="e">
        <f>+VLOOKUP($AJ551,Data_Validation!$A:$E,5,0)</f>
        <v>#N/A</v>
      </c>
      <c r="AT551" s="904">
        <f t="shared" si="34"/>
        <v>0</v>
      </c>
      <c r="AU551" s="488">
        <f t="shared" si="34"/>
        <v>0</v>
      </c>
      <c r="AV551" s="899">
        <f>IFERROR(INDEX(V551:AG551,1,MATCH(Parametres!$B$3,V$1:AG$1,0)-1)*IF(OR(C551="L",C551="S",C551="I"),-1,1),"")</f>
        <v>0</v>
      </c>
      <c r="AW551" s="899">
        <f t="shared" si="35"/>
        <v>0</v>
      </c>
      <c r="AX551" s="899">
        <f>INDEX(V551:AG551,1,MATCH(Parametres!$B$3,V$1:AG$1,0))*IF(OR(C551="L",C551="S",C551="I"),-1,1)</f>
        <v>0</v>
      </c>
      <c r="AY551" s="487" t="s">
        <v>337</v>
      </c>
      <c r="AZ551" s="487" t="e">
        <f>+VLOOKUP($AJ551,Data_Validation!$A:$E,5,0)</f>
        <v>#N/A</v>
      </c>
    </row>
    <row r="552" spans="36:52" ht="15" customHeight="1">
      <c r="AJ552" s="899">
        <f t="shared" si="36"/>
        <v>0</v>
      </c>
      <c r="AK552" s="899">
        <f t="shared" si="36"/>
        <v>0</v>
      </c>
      <c r="AL552" s="905">
        <f>IFERROR(INDEX(G552:R552,1,MATCH(Parametres!$B$3,G$1:R$1,0)-1)*IF(OR(F552="L",F552="S",F552="I"),-1,1),"")</f>
        <v>0</v>
      </c>
      <c r="AM552" s="905">
        <f t="shared" si="33"/>
        <v>0</v>
      </c>
      <c r="AN552" s="905">
        <f>INDEX(G552:R552,1,MATCH(Parametres!$B$3,G$1:R$1,0))*IF(OR(F552="L",F552="S",F552="I"),-1,1)</f>
        <v>0</v>
      </c>
      <c r="AO552" s="487" t="e">
        <f>+VLOOKUP($AJ552,Data_Validation!$A:$D,1,0)</f>
        <v>#N/A</v>
      </c>
      <c r="AP552" s="487" t="e">
        <f>+VLOOKUP($AJ552,Data_Validation!$A:$D,3,0)</f>
        <v>#N/A</v>
      </c>
      <c r="AQ552" s="487" t="e">
        <f>+VLOOKUP($AJ552,Data_Validation!$A:$D,4,0)</f>
        <v>#N/A</v>
      </c>
      <c r="AR552" s="487" t="s">
        <v>299</v>
      </c>
      <c r="AS552" s="487" t="e">
        <f>+VLOOKUP($AJ552,Data_Validation!$A:$E,5,0)</f>
        <v>#N/A</v>
      </c>
      <c r="AT552" s="904">
        <f t="shared" si="34"/>
        <v>0</v>
      </c>
      <c r="AU552" s="488">
        <f t="shared" si="34"/>
        <v>0</v>
      </c>
      <c r="AV552" s="899">
        <f>IFERROR(INDEX(V552:AG552,1,MATCH(Parametres!$B$3,V$1:AG$1,0)-1)*IF(OR(C552="L",C552="S",C552="I"),-1,1),"")</f>
        <v>0</v>
      </c>
      <c r="AW552" s="899">
        <f t="shared" si="35"/>
        <v>0</v>
      </c>
      <c r="AX552" s="899">
        <f>INDEX(V552:AG552,1,MATCH(Parametres!$B$3,V$1:AG$1,0))*IF(OR(C552="L",C552="S",C552="I"),-1,1)</f>
        <v>0</v>
      </c>
      <c r="AY552" s="487" t="s">
        <v>337</v>
      </c>
      <c r="AZ552" s="487" t="e">
        <f>+VLOOKUP($AJ552,Data_Validation!$A:$E,5,0)</f>
        <v>#N/A</v>
      </c>
    </row>
    <row r="553" spans="36:52" ht="15" customHeight="1">
      <c r="AJ553" s="899">
        <f t="shared" si="36"/>
        <v>0</v>
      </c>
      <c r="AK553" s="899">
        <f t="shared" si="36"/>
        <v>0</v>
      </c>
      <c r="AL553" s="905">
        <f>IFERROR(INDEX(G553:R553,1,MATCH(Parametres!$B$3,G$1:R$1,0)-1)*IF(OR(F553="L",F553="S",F553="I"),-1,1),"")</f>
        <v>0</v>
      </c>
      <c r="AM553" s="905">
        <f t="shared" si="33"/>
        <v>0</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f t="shared" si="34"/>
        <v>0</v>
      </c>
      <c r="AU553" s="488">
        <f t="shared" si="34"/>
        <v>0</v>
      </c>
      <c r="AV553" s="899">
        <f>IFERROR(INDEX(V553:AG553,1,MATCH(Parametres!$B$3,V$1:AG$1,0)-1)*IF(OR(C553="L",C553="S",C553="I"),-1,1),"")</f>
        <v>0</v>
      </c>
      <c r="AW553" s="899">
        <f t="shared" si="35"/>
        <v>0</v>
      </c>
      <c r="AX553" s="899">
        <f>INDEX(V553:AG553,1,MATCH(Parametres!$B$3,V$1:AG$1,0))*IF(OR(C553="L",C553="S",C553="I"),-1,1)</f>
        <v>0</v>
      </c>
      <c r="AY553" s="487" t="s">
        <v>337</v>
      </c>
      <c r="AZ553" s="487" t="e">
        <f>+VLOOKUP($AJ553,Data_Validation!$A:$E,5,0)</f>
        <v>#N/A</v>
      </c>
    </row>
    <row r="554" spans="36:52" ht="15" customHeight="1">
      <c r="AJ554" s="899">
        <f t="shared" si="36"/>
        <v>0</v>
      </c>
      <c r="AK554" s="899">
        <f t="shared" si="36"/>
        <v>0</v>
      </c>
      <c r="AL554" s="905">
        <f>IFERROR(INDEX(G554:R554,1,MATCH(Parametres!$B$3,G$1:R$1,0)-1)*IF(OR(F554="L",F554="S",F554="I"),-1,1),"")</f>
        <v>0</v>
      </c>
      <c r="AM554" s="905">
        <f t="shared" si="33"/>
        <v>0</v>
      </c>
      <c r="AN554" s="905">
        <f>INDEX(G554:R554,1,MATCH(Parametres!$B$3,G$1:R$1,0))*IF(OR(F554="L",F554="S",F554="I"),-1,1)</f>
        <v>0</v>
      </c>
      <c r="AO554" s="487" t="e">
        <f>+VLOOKUP($AJ554,Data_Validation!$A:$D,1,0)</f>
        <v>#N/A</v>
      </c>
      <c r="AP554" s="487" t="e">
        <f>+VLOOKUP($AJ554,Data_Validation!$A:$D,3,0)</f>
        <v>#N/A</v>
      </c>
      <c r="AQ554" s="487" t="e">
        <f>+VLOOKUP($AJ554,Data_Validation!$A:$D,4,0)</f>
        <v>#N/A</v>
      </c>
      <c r="AR554" s="487" t="s">
        <v>299</v>
      </c>
      <c r="AS554" s="487" t="e">
        <f>+VLOOKUP($AJ554,Data_Validation!$A:$E,5,0)</f>
        <v>#N/A</v>
      </c>
      <c r="AT554" s="904">
        <f t="shared" si="34"/>
        <v>0</v>
      </c>
      <c r="AU554" s="488">
        <f t="shared" si="34"/>
        <v>0</v>
      </c>
      <c r="AV554" s="899">
        <f>IFERROR(INDEX(V554:AG554,1,MATCH(Parametres!$B$3,V$1:AG$1,0)-1)*IF(OR(C554="L",C554="S",C554="I"),-1,1),"")</f>
        <v>0</v>
      </c>
      <c r="AW554" s="899">
        <f t="shared" si="35"/>
        <v>0</v>
      </c>
      <c r="AX554" s="899">
        <f>INDEX(V554:AG554,1,MATCH(Parametres!$B$3,V$1:AG$1,0))*IF(OR(C554="L",C554="S",C554="I"),-1,1)</f>
        <v>0</v>
      </c>
      <c r="AY554" s="487" t="s">
        <v>337</v>
      </c>
      <c r="AZ554" s="487" t="e">
        <f>+VLOOKUP($AJ554,Data_Validation!$A:$E,5,0)</f>
        <v>#N/A</v>
      </c>
    </row>
    <row r="555" spans="36:52" ht="15" customHeight="1">
      <c r="AJ555" s="899">
        <f t="shared" si="36"/>
        <v>0</v>
      </c>
      <c r="AK555" s="899">
        <f t="shared" si="36"/>
        <v>0</v>
      </c>
      <c r="AL555" s="905">
        <f>IFERROR(INDEX(G555:R555,1,MATCH(Parametres!$B$3,G$1:R$1,0)-1)*IF(OR(F555="L",F555="S",F555="I"),-1,1),"")</f>
        <v>0</v>
      </c>
      <c r="AM555" s="905">
        <f t="shared" si="33"/>
        <v>0</v>
      </c>
      <c r="AN555" s="905">
        <f>INDEX(G555:R555,1,MATCH(Parametres!$B$3,G$1:R$1,0))*IF(OR(F555="L",F555="S",F555="I"),-1,1)</f>
        <v>0</v>
      </c>
      <c r="AO555" s="487" t="e">
        <f>+VLOOKUP($AJ555,Data_Validation!$A:$D,1,0)</f>
        <v>#N/A</v>
      </c>
      <c r="AP555" s="487" t="e">
        <f>+VLOOKUP($AJ555,Data_Validation!$A:$D,3,0)</f>
        <v>#N/A</v>
      </c>
      <c r="AQ555" s="487" t="e">
        <f>+VLOOKUP($AJ555,Data_Validation!$A:$D,4,0)</f>
        <v>#N/A</v>
      </c>
      <c r="AR555" s="487" t="s">
        <v>299</v>
      </c>
      <c r="AS555" s="487" t="e">
        <f>+VLOOKUP($AJ555,Data_Validation!$A:$E,5,0)</f>
        <v>#N/A</v>
      </c>
      <c r="AT555" s="904">
        <f t="shared" si="34"/>
        <v>0</v>
      </c>
      <c r="AU555" s="488">
        <f t="shared" si="34"/>
        <v>0</v>
      </c>
      <c r="AV555" s="899">
        <f>IFERROR(INDEX(V555:AG555,1,MATCH(Parametres!$B$3,V$1:AG$1,0)-1)*IF(OR(C555="L",C555="S",C555="I"),-1,1),"")</f>
        <v>0</v>
      </c>
      <c r="AW555" s="899">
        <f t="shared" si="35"/>
        <v>0</v>
      </c>
      <c r="AX555" s="899">
        <f>INDEX(V555:AG555,1,MATCH(Parametres!$B$3,V$1:AG$1,0))*IF(OR(C555="L",C555="S",C555="I"),-1,1)</f>
        <v>0</v>
      </c>
      <c r="AY555" s="487" t="s">
        <v>337</v>
      </c>
      <c r="AZ555" s="487" t="e">
        <f>+VLOOKUP($AJ555,Data_Validation!$A:$E,5,0)</f>
        <v>#N/A</v>
      </c>
    </row>
    <row r="556" spans="36:52" ht="15" customHeight="1">
      <c r="AJ556" s="899">
        <f t="shared" si="36"/>
        <v>0</v>
      </c>
      <c r="AK556" s="899">
        <f t="shared" si="36"/>
        <v>0</v>
      </c>
      <c r="AL556" s="905">
        <f>IFERROR(INDEX(G556:R556,1,MATCH(Parametres!$B$3,G$1:R$1,0)-1)*IF(OR(F556="L",F556="S",F556="I"),-1,1),"")</f>
        <v>0</v>
      </c>
      <c r="AM556" s="905">
        <f t="shared" si="33"/>
        <v>0</v>
      </c>
      <c r="AN556" s="905">
        <f>INDEX(G556:R556,1,MATCH(Parametres!$B$3,G$1:R$1,0))*IF(OR(F556="L",F556="S",F556="I"),-1,1)</f>
        <v>0</v>
      </c>
      <c r="AO556" s="487" t="e">
        <f>+VLOOKUP($AJ556,Data_Validation!$A:$D,1,0)</f>
        <v>#N/A</v>
      </c>
      <c r="AP556" s="487" t="e">
        <f>+VLOOKUP($AJ556,Data_Validation!$A:$D,3,0)</f>
        <v>#N/A</v>
      </c>
      <c r="AQ556" s="487" t="e">
        <f>+VLOOKUP($AJ556,Data_Validation!$A:$D,4,0)</f>
        <v>#N/A</v>
      </c>
      <c r="AR556" s="487" t="s">
        <v>299</v>
      </c>
      <c r="AS556" s="487" t="e">
        <f>+VLOOKUP($AJ556,Data_Validation!$A:$E,5,0)</f>
        <v>#N/A</v>
      </c>
      <c r="AT556" s="904">
        <f t="shared" si="34"/>
        <v>0</v>
      </c>
      <c r="AU556" s="488">
        <f t="shared" si="34"/>
        <v>0</v>
      </c>
      <c r="AV556" s="899">
        <f>IFERROR(INDEX(V556:AG556,1,MATCH(Parametres!$B$3,V$1:AG$1,0)-1)*IF(OR(C556="L",C556="S",C556="I"),-1,1),"")</f>
        <v>0</v>
      </c>
      <c r="AW556" s="899">
        <f t="shared" si="35"/>
        <v>0</v>
      </c>
      <c r="AX556" s="899">
        <f>INDEX(V556:AG556,1,MATCH(Parametres!$B$3,V$1:AG$1,0))*IF(OR(C556="L",C556="S",C556="I"),-1,1)</f>
        <v>0</v>
      </c>
      <c r="AY556" s="487" t="s">
        <v>337</v>
      </c>
      <c r="AZ556" s="487" t="e">
        <f>+VLOOKUP($AJ556,Data_Validation!$A:$E,5,0)</f>
        <v>#N/A</v>
      </c>
    </row>
    <row r="557" spans="36:52" ht="15" customHeight="1">
      <c r="AJ557" s="899">
        <f t="shared" si="36"/>
        <v>0</v>
      </c>
      <c r="AK557" s="899">
        <f t="shared" si="36"/>
        <v>0</v>
      </c>
      <c r="AL557" s="905">
        <f>IFERROR(INDEX(G557:R557,1,MATCH(Parametres!$B$3,G$1:R$1,0)-1)*IF(OR(F557="L",F557="S",F557="I"),-1,1),"")</f>
        <v>0</v>
      </c>
      <c r="AM557" s="905">
        <f t="shared" si="33"/>
        <v>0</v>
      </c>
      <c r="AN557" s="905">
        <f>INDEX(G557:R557,1,MATCH(Parametres!$B$3,G$1:R$1,0))*IF(OR(F557="L",F557="S",F557="I"),-1,1)</f>
        <v>0</v>
      </c>
      <c r="AO557" s="487" t="e">
        <f>+VLOOKUP($AJ557,Data_Validation!$A:$D,1,0)</f>
        <v>#N/A</v>
      </c>
      <c r="AP557" s="487" t="e">
        <f>+VLOOKUP($AJ557,Data_Validation!$A:$D,3,0)</f>
        <v>#N/A</v>
      </c>
      <c r="AQ557" s="487" t="e">
        <f>+VLOOKUP($AJ557,Data_Validation!$A:$D,4,0)</f>
        <v>#N/A</v>
      </c>
      <c r="AR557" s="487" t="s">
        <v>299</v>
      </c>
      <c r="AS557" s="487" t="e">
        <f>+VLOOKUP($AJ557,Data_Validation!$A:$E,5,0)</f>
        <v>#N/A</v>
      </c>
      <c r="AT557" s="904">
        <f t="shared" si="34"/>
        <v>0</v>
      </c>
      <c r="AU557" s="488">
        <f t="shared" si="34"/>
        <v>0</v>
      </c>
      <c r="AV557" s="899">
        <f>IFERROR(INDEX(V557:AG557,1,MATCH(Parametres!$B$3,V$1:AG$1,0)-1)*IF(OR(C557="L",C557="S",C557="I"),-1,1),"")</f>
        <v>0</v>
      </c>
      <c r="AW557" s="899">
        <f t="shared" si="35"/>
        <v>0</v>
      </c>
      <c r="AX557" s="899">
        <f>INDEX(V557:AG557,1,MATCH(Parametres!$B$3,V$1:AG$1,0))*IF(OR(C557="L",C557="S",C557="I"),-1,1)</f>
        <v>0</v>
      </c>
      <c r="AY557" s="487" t="s">
        <v>337</v>
      </c>
      <c r="AZ557" s="487" t="e">
        <f>+VLOOKUP($AJ557,Data_Validation!$A:$E,5,0)</f>
        <v>#N/A</v>
      </c>
    </row>
    <row r="558" spans="36:52" ht="15" customHeight="1">
      <c r="AJ558" s="899">
        <f t="shared" si="36"/>
        <v>0</v>
      </c>
      <c r="AK558" s="899">
        <f t="shared" si="36"/>
        <v>0</v>
      </c>
      <c r="AL558" s="905">
        <f>IFERROR(INDEX(G558:R558,1,MATCH(Parametres!$B$3,G$1:R$1,0)-1)*IF(OR(F558="L",F558="S",F558="I"),-1,1),"")</f>
        <v>0</v>
      </c>
      <c r="AM558" s="905">
        <f t="shared" si="33"/>
        <v>0</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f t="shared" si="34"/>
        <v>0</v>
      </c>
      <c r="AU558" s="488">
        <f t="shared" si="34"/>
        <v>0</v>
      </c>
      <c r="AV558" s="899">
        <f>IFERROR(INDEX(V558:AG558,1,MATCH(Parametres!$B$3,V$1:AG$1,0)-1)*IF(OR(C558="L",C558="S",C558="I"),-1,1),"")</f>
        <v>0</v>
      </c>
      <c r="AW558" s="899">
        <f t="shared" si="35"/>
        <v>0</v>
      </c>
      <c r="AX558" s="899">
        <f>INDEX(V558:AG558,1,MATCH(Parametres!$B$3,V$1:AG$1,0))*IF(OR(C558="L",C558="S",C558="I"),-1,1)</f>
        <v>0</v>
      </c>
      <c r="AY558" s="487" t="s">
        <v>337</v>
      </c>
      <c r="AZ558" s="487" t="e">
        <f>+VLOOKUP($AJ558,Data_Validation!$A:$E,5,0)</f>
        <v>#N/A</v>
      </c>
    </row>
    <row r="559" spans="36:52" ht="15" customHeight="1">
      <c r="AJ559" s="899">
        <f t="shared" si="36"/>
        <v>0</v>
      </c>
      <c r="AK559" s="899">
        <f t="shared" si="36"/>
        <v>0</v>
      </c>
      <c r="AL559" s="905">
        <f>IFERROR(INDEX(G559:R559,1,MATCH(Parametres!$B$3,G$1:R$1,0)-1)*IF(OR(F559="L",F559="S",F559="I"),-1,1),"")</f>
        <v>0</v>
      </c>
      <c r="AM559" s="905">
        <f t="shared" si="33"/>
        <v>0</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f t="shared" si="34"/>
        <v>0</v>
      </c>
      <c r="AU559" s="488">
        <f t="shared" si="34"/>
        <v>0</v>
      </c>
      <c r="AV559" s="899">
        <f>IFERROR(INDEX(V559:AG559,1,MATCH(Parametres!$B$3,V$1:AG$1,0)-1)*IF(OR(C559="L",C559="S",C559="I"),-1,1),"")</f>
        <v>0</v>
      </c>
      <c r="AW559" s="899">
        <f t="shared" si="35"/>
        <v>0</v>
      </c>
      <c r="AX559" s="899">
        <f>INDEX(V559:AG559,1,MATCH(Parametres!$B$3,V$1:AG$1,0))*IF(OR(C559="L",C559="S",C559="I"),-1,1)</f>
        <v>0</v>
      </c>
      <c r="AY559" s="487" t="s">
        <v>337</v>
      </c>
      <c r="AZ559" s="487" t="e">
        <f>+VLOOKUP($AJ559,Data_Validation!$A:$E,5,0)</f>
        <v>#N/A</v>
      </c>
    </row>
    <row r="560" spans="36:52" ht="15" customHeight="1">
      <c r="AJ560" s="899">
        <f t="shared" si="36"/>
        <v>0</v>
      </c>
      <c r="AK560" s="899">
        <f t="shared" si="36"/>
        <v>0</v>
      </c>
      <c r="AL560" s="905">
        <f>IFERROR(INDEX(G560:R560,1,MATCH(Parametres!$B$3,G$1:R$1,0)-1)*IF(OR(F560="L",F560="S",F560="I"),-1,1),"")</f>
        <v>0</v>
      </c>
      <c r="AM560" s="905">
        <f t="shared" si="33"/>
        <v>0</v>
      </c>
      <c r="AN560" s="905">
        <f>INDEX(G560:R560,1,MATCH(Parametres!$B$3,G$1:R$1,0))*IF(OR(F560="L",F560="S",F560="I"),-1,1)</f>
        <v>0</v>
      </c>
      <c r="AO560" s="487" t="e">
        <f>+VLOOKUP($AJ560,Data_Validation!$A:$D,1,0)</f>
        <v>#N/A</v>
      </c>
      <c r="AP560" s="487" t="e">
        <f>+VLOOKUP($AJ560,Data_Validation!$A:$D,3,0)</f>
        <v>#N/A</v>
      </c>
      <c r="AQ560" s="487" t="e">
        <f>+VLOOKUP($AJ560,Data_Validation!$A:$D,4,0)</f>
        <v>#N/A</v>
      </c>
      <c r="AR560" s="487" t="s">
        <v>299</v>
      </c>
      <c r="AS560" s="487" t="e">
        <f>+VLOOKUP($AJ560,Data_Validation!$A:$E,5,0)</f>
        <v>#N/A</v>
      </c>
      <c r="AT560" s="904">
        <f t="shared" si="34"/>
        <v>0</v>
      </c>
      <c r="AU560" s="488">
        <f t="shared" si="34"/>
        <v>0</v>
      </c>
      <c r="AV560" s="899">
        <f>IFERROR(INDEX(V560:AG560,1,MATCH(Parametres!$B$3,V$1:AG$1,0)-1)*IF(OR(C560="L",C560="S",C560="I"),-1,1),"")</f>
        <v>0</v>
      </c>
      <c r="AW560" s="899">
        <f t="shared" si="35"/>
        <v>0</v>
      </c>
      <c r="AX560" s="899">
        <f>INDEX(V560:AG560,1,MATCH(Parametres!$B$3,V$1:AG$1,0))*IF(OR(C560="L",C560="S",C560="I"),-1,1)</f>
        <v>0</v>
      </c>
      <c r="AY560" s="487" t="s">
        <v>337</v>
      </c>
      <c r="AZ560" s="487" t="e">
        <f>+VLOOKUP($AJ560,Data_Validation!$A:$E,5,0)</f>
        <v>#N/A</v>
      </c>
    </row>
    <row r="561" spans="36:52" ht="15" customHeight="1">
      <c r="AJ561" s="899">
        <f t="shared" si="36"/>
        <v>0</v>
      </c>
      <c r="AK561" s="899">
        <f t="shared" si="36"/>
        <v>0</v>
      </c>
      <c r="AL561" s="905">
        <f>IFERROR(INDEX(G561:R561,1,MATCH(Parametres!$B$3,G$1:R$1,0)-1)*IF(OR(F561="L",F561="S",F561="I"),-1,1),"")</f>
        <v>0</v>
      </c>
      <c r="AM561" s="905">
        <f t="shared" si="33"/>
        <v>0</v>
      </c>
      <c r="AN561" s="905">
        <f>INDEX(G561:R561,1,MATCH(Parametres!$B$3,G$1:R$1,0))*IF(OR(F561="L",F561="S",F561="I"),-1,1)</f>
        <v>0</v>
      </c>
      <c r="AO561" s="487" t="e">
        <f>+VLOOKUP($AJ561,Data_Validation!$A:$D,1,0)</f>
        <v>#N/A</v>
      </c>
      <c r="AP561" s="487" t="e">
        <f>+VLOOKUP($AJ561,Data_Validation!$A:$D,3,0)</f>
        <v>#N/A</v>
      </c>
      <c r="AQ561" s="487" t="e">
        <f>+VLOOKUP($AJ561,Data_Validation!$A:$D,4,0)</f>
        <v>#N/A</v>
      </c>
      <c r="AR561" s="487" t="s">
        <v>299</v>
      </c>
      <c r="AS561" s="487" t="e">
        <f>+VLOOKUP($AJ561,Data_Validation!$A:$E,5,0)</f>
        <v>#N/A</v>
      </c>
      <c r="AT561" s="904">
        <f t="shared" si="34"/>
        <v>0</v>
      </c>
      <c r="AU561" s="488">
        <f t="shared" si="34"/>
        <v>0</v>
      </c>
      <c r="AV561" s="899">
        <f>IFERROR(INDEX(V561:AG561,1,MATCH(Parametres!$B$3,V$1:AG$1,0)-1)*IF(OR(C561="L",C561="S",C561="I"),-1,1),"")</f>
        <v>0</v>
      </c>
      <c r="AW561" s="899">
        <f t="shared" si="35"/>
        <v>0</v>
      </c>
      <c r="AX561" s="899">
        <f>INDEX(V561:AG561,1,MATCH(Parametres!$B$3,V$1:AG$1,0))*IF(OR(C561="L",C561="S",C561="I"),-1,1)</f>
        <v>0</v>
      </c>
      <c r="AY561" s="487" t="s">
        <v>337</v>
      </c>
      <c r="AZ561" s="487" t="e">
        <f>+VLOOKUP($AJ561,Data_Validation!$A:$E,5,0)</f>
        <v>#N/A</v>
      </c>
    </row>
    <row r="562" spans="36:52" ht="15" customHeight="1">
      <c r="AJ562" s="899">
        <f t="shared" si="36"/>
        <v>0</v>
      </c>
      <c r="AK562" s="899">
        <f t="shared" si="36"/>
        <v>0</v>
      </c>
      <c r="AL562" s="905">
        <f>IFERROR(INDEX(G562:R562,1,MATCH(Parametres!$B$3,G$1:R$1,0)-1)*IF(OR(F562="L",F562="S",F562="I"),-1,1),"")</f>
        <v>0</v>
      </c>
      <c r="AM562" s="905">
        <f t="shared" si="33"/>
        <v>0</v>
      </c>
      <c r="AN562" s="905">
        <f>INDEX(G562:R562,1,MATCH(Parametres!$B$3,G$1:R$1,0))*IF(OR(F562="L",F562="S",F562="I"),-1,1)</f>
        <v>0</v>
      </c>
      <c r="AO562" s="487" t="e">
        <f>+VLOOKUP($AJ562,Data_Validation!$A:$D,1,0)</f>
        <v>#N/A</v>
      </c>
      <c r="AP562" s="487" t="e">
        <f>+VLOOKUP($AJ562,Data_Validation!$A:$D,3,0)</f>
        <v>#N/A</v>
      </c>
      <c r="AQ562" s="487" t="e">
        <f>+VLOOKUP($AJ562,Data_Validation!$A:$D,4,0)</f>
        <v>#N/A</v>
      </c>
      <c r="AR562" s="487" t="s">
        <v>299</v>
      </c>
      <c r="AS562" s="487" t="e">
        <f>+VLOOKUP($AJ562,Data_Validation!$A:$E,5,0)</f>
        <v>#N/A</v>
      </c>
      <c r="AT562" s="904">
        <f t="shared" si="34"/>
        <v>0</v>
      </c>
      <c r="AU562" s="488">
        <f t="shared" si="34"/>
        <v>0</v>
      </c>
      <c r="AV562" s="899">
        <f>IFERROR(INDEX(V562:AG562,1,MATCH(Parametres!$B$3,V$1:AG$1,0)-1)*IF(OR(C562="L",C562="S",C562="I"),-1,1),"")</f>
        <v>0</v>
      </c>
      <c r="AW562" s="899">
        <f t="shared" si="35"/>
        <v>0</v>
      </c>
      <c r="AX562" s="899">
        <f>INDEX(V562:AG562,1,MATCH(Parametres!$B$3,V$1:AG$1,0))*IF(OR(C562="L",C562="S",C562="I"),-1,1)</f>
        <v>0</v>
      </c>
      <c r="AY562" s="487" t="s">
        <v>337</v>
      </c>
      <c r="AZ562" s="487" t="e">
        <f>+VLOOKUP($AJ562,Data_Validation!$A:$E,5,0)</f>
        <v>#N/A</v>
      </c>
    </row>
    <row r="563" spans="36:52" ht="15" customHeight="1">
      <c r="AJ563" s="899">
        <f t="shared" si="36"/>
        <v>0</v>
      </c>
      <c r="AK563" s="899">
        <f t="shared" si="36"/>
        <v>0</v>
      </c>
      <c r="AL563" s="905">
        <f>IFERROR(INDEX(G563:R563,1,MATCH(Parametres!$B$3,G$1:R$1,0)-1)*IF(OR(F563="L",F563="S",F563="I"),-1,1),"")</f>
        <v>0</v>
      </c>
      <c r="AM563" s="905">
        <f t="shared" si="33"/>
        <v>0</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f t="shared" si="34"/>
        <v>0</v>
      </c>
      <c r="AU563" s="488">
        <f t="shared" si="34"/>
        <v>0</v>
      </c>
      <c r="AV563" s="899">
        <f>IFERROR(INDEX(V563:AG563,1,MATCH(Parametres!$B$3,V$1:AG$1,0)-1)*IF(OR(C563="L",C563="S",C563="I"),-1,1),"")</f>
        <v>0</v>
      </c>
      <c r="AW563" s="899">
        <f t="shared" si="35"/>
        <v>0</v>
      </c>
      <c r="AX563" s="899">
        <f>INDEX(V563:AG563,1,MATCH(Parametres!$B$3,V$1:AG$1,0))*IF(OR(C563="L",C563="S",C563="I"),-1,1)</f>
        <v>0</v>
      </c>
      <c r="AY563" s="487" t="s">
        <v>337</v>
      </c>
      <c r="AZ563" s="487" t="e">
        <f>+VLOOKUP($AJ563,Data_Validation!$A:$E,5,0)</f>
        <v>#N/A</v>
      </c>
    </row>
    <row r="564" spans="36:52" ht="15" customHeight="1">
      <c r="AJ564" s="899">
        <f t="shared" si="36"/>
        <v>0</v>
      </c>
      <c r="AK564" s="899">
        <f t="shared" si="36"/>
        <v>0</v>
      </c>
      <c r="AL564" s="905">
        <f>IFERROR(INDEX(G564:R564,1,MATCH(Parametres!$B$3,G$1:R$1,0)-1)*IF(OR(F564="L",F564="S",F564="I"),-1,1),"")</f>
        <v>0</v>
      </c>
      <c r="AM564" s="905">
        <f t="shared" si="33"/>
        <v>0</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f t="shared" si="34"/>
        <v>0</v>
      </c>
      <c r="AU564" s="488">
        <f t="shared" si="34"/>
        <v>0</v>
      </c>
      <c r="AV564" s="899">
        <f>IFERROR(INDEX(V564:AG564,1,MATCH(Parametres!$B$3,V$1:AG$1,0)-1)*IF(OR(C564="L",C564="S",C564="I"),-1,1),"")</f>
        <v>0</v>
      </c>
      <c r="AW564" s="899">
        <f t="shared" si="35"/>
        <v>0</v>
      </c>
      <c r="AX564" s="899">
        <f>INDEX(V564:AG564,1,MATCH(Parametres!$B$3,V$1:AG$1,0))*IF(OR(C564="L",C564="S",C564="I"),-1,1)</f>
        <v>0</v>
      </c>
      <c r="AY564" s="487" t="s">
        <v>337</v>
      </c>
      <c r="AZ564" s="487" t="e">
        <f>+VLOOKUP($AJ564,Data_Validation!$A:$E,5,0)</f>
        <v>#N/A</v>
      </c>
    </row>
    <row r="565" spans="36:52" ht="15" customHeight="1">
      <c r="AJ565" s="899">
        <f t="shared" si="36"/>
        <v>0</v>
      </c>
      <c r="AK565" s="899">
        <f t="shared" si="36"/>
        <v>0</v>
      </c>
      <c r="AL565" s="905">
        <f>IFERROR(INDEX(G565:R565,1,MATCH(Parametres!$B$3,G$1:R$1,0)-1)*IF(OR(F565="L",F565="S",F565="I"),-1,1),"")</f>
        <v>0</v>
      </c>
      <c r="AM565" s="905">
        <f t="shared" si="33"/>
        <v>0</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f t="shared" si="34"/>
        <v>0</v>
      </c>
      <c r="AU565" s="488">
        <f t="shared" si="34"/>
        <v>0</v>
      </c>
      <c r="AV565" s="899">
        <f>IFERROR(INDEX(V565:AG565,1,MATCH(Parametres!$B$3,V$1:AG$1,0)-1)*IF(OR(C565="L",C565="S",C565="I"),-1,1),"")</f>
        <v>0</v>
      </c>
      <c r="AW565" s="899">
        <f t="shared" si="35"/>
        <v>0</v>
      </c>
      <c r="AX565" s="899">
        <f>INDEX(V565:AG565,1,MATCH(Parametres!$B$3,V$1:AG$1,0))*IF(OR(C565="L",C565="S",C565="I"),-1,1)</f>
        <v>0</v>
      </c>
      <c r="AY565" s="487" t="s">
        <v>337</v>
      </c>
      <c r="AZ565" s="487" t="e">
        <f>+VLOOKUP($AJ565,Data_Validation!$A:$E,5,0)</f>
        <v>#N/A</v>
      </c>
    </row>
    <row r="566" spans="36:52" ht="15" customHeight="1">
      <c r="AJ566" s="899">
        <f t="shared" si="36"/>
        <v>0</v>
      </c>
      <c r="AK566" s="899">
        <f t="shared" si="36"/>
        <v>0</v>
      </c>
      <c r="AL566" s="905">
        <f>IFERROR(INDEX(G566:R566,1,MATCH(Parametres!$B$3,G$1:R$1,0)-1)*IF(OR(F566="L",F566="S",F566="I"),-1,1),"")</f>
        <v>0</v>
      </c>
      <c r="AM566" s="905">
        <f t="shared" si="33"/>
        <v>0</v>
      </c>
      <c r="AN566" s="905">
        <f>INDEX(G566:R566,1,MATCH(Parametres!$B$3,G$1:R$1,0))*IF(OR(F566="L",F566="S",F566="I"),-1,1)</f>
        <v>0</v>
      </c>
      <c r="AO566" s="487" t="e">
        <f>+VLOOKUP($AJ566,Data_Validation!$A:$D,1,0)</f>
        <v>#N/A</v>
      </c>
      <c r="AP566" s="487" t="e">
        <f>+VLOOKUP($AJ566,Data_Validation!$A:$D,3,0)</f>
        <v>#N/A</v>
      </c>
      <c r="AQ566" s="487" t="e">
        <f>+VLOOKUP($AJ566,Data_Validation!$A:$D,4,0)</f>
        <v>#N/A</v>
      </c>
      <c r="AR566" s="487" t="s">
        <v>299</v>
      </c>
      <c r="AS566" s="487" t="e">
        <f>+VLOOKUP($AJ566,Data_Validation!$A:$E,5,0)</f>
        <v>#N/A</v>
      </c>
      <c r="AT566" s="904">
        <f t="shared" si="34"/>
        <v>0</v>
      </c>
      <c r="AU566" s="488">
        <f t="shared" si="34"/>
        <v>0</v>
      </c>
      <c r="AV566" s="899">
        <f>IFERROR(INDEX(V566:AG566,1,MATCH(Parametres!$B$3,V$1:AG$1,0)-1)*IF(OR(C566="L",C566="S",C566="I"),-1,1),"")</f>
        <v>0</v>
      </c>
      <c r="AW566" s="899">
        <f t="shared" si="35"/>
        <v>0</v>
      </c>
      <c r="AX566" s="899">
        <f>INDEX(V566:AG566,1,MATCH(Parametres!$B$3,V$1:AG$1,0))*IF(OR(C566="L",C566="S",C566="I"),-1,1)</f>
        <v>0</v>
      </c>
      <c r="AY566" s="487" t="s">
        <v>337</v>
      </c>
      <c r="AZ566" s="487" t="e">
        <f>+VLOOKUP($AJ566,Data_Validation!$A:$E,5,0)</f>
        <v>#N/A</v>
      </c>
    </row>
    <row r="567" spans="36:52" ht="15" customHeight="1">
      <c r="AJ567" s="899">
        <f t="shared" si="36"/>
        <v>0</v>
      </c>
      <c r="AK567" s="899">
        <f t="shared" si="36"/>
        <v>0</v>
      </c>
      <c r="AL567" s="905">
        <f>IFERROR(INDEX(G567:R567,1,MATCH(Parametres!$B$3,G$1:R$1,0)-1)*IF(OR(F567="L",F567="S",F567="I"),-1,1),"")</f>
        <v>0</v>
      </c>
      <c r="AM567" s="905">
        <f t="shared" si="33"/>
        <v>0</v>
      </c>
      <c r="AN567" s="905">
        <f>INDEX(G567:R567,1,MATCH(Parametres!$B$3,G$1:R$1,0))*IF(OR(F567="L",F567="S",F567="I"),-1,1)</f>
        <v>0</v>
      </c>
      <c r="AO567" s="487" t="e">
        <f>+VLOOKUP($AJ567,Data_Validation!$A:$D,1,0)</f>
        <v>#N/A</v>
      </c>
      <c r="AP567" s="487" t="e">
        <f>+VLOOKUP($AJ567,Data_Validation!$A:$D,3,0)</f>
        <v>#N/A</v>
      </c>
      <c r="AQ567" s="487" t="e">
        <f>+VLOOKUP($AJ567,Data_Validation!$A:$D,4,0)</f>
        <v>#N/A</v>
      </c>
      <c r="AR567" s="487" t="s">
        <v>299</v>
      </c>
      <c r="AS567" s="487" t="e">
        <f>+VLOOKUP($AJ567,Data_Validation!$A:$E,5,0)</f>
        <v>#N/A</v>
      </c>
      <c r="AT567" s="904">
        <f t="shared" si="34"/>
        <v>0</v>
      </c>
      <c r="AU567" s="488">
        <f t="shared" si="34"/>
        <v>0</v>
      </c>
      <c r="AV567" s="899">
        <f>IFERROR(INDEX(V567:AG567,1,MATCH(Parametres!$B$3,V$1:AG$1,0)-1)*IF(OR(C567="L",C567="S",C567="I"),-1,1),"")</f>
        <v>0</v>
      </c>
      <c r="AW567" s="899">
        <f t="shared" si="35"/>
        <v>0</v>
      </c>
      <c r="AX567" s="899">
        <f>INDEX(V567:AG567,1,MATCH(Parametres!$B$3,V$1:AG$1,0))*IF(OR(C567="L",C567="S",C567="I"),-1,1)</f>
        <v>0</v>
      </c>
      <c r="AY567" s="487" t="s">
        <v>337</v>
      </c>
      <c r="AZ567" s="487" t="e">
        <f>+VLOOKUP($AJ567,Data_Validation!$A:$E,5,0)</f>
        <v>#N/A</v>
      </c>
    </row>
    <row r="568" spans="36:52" ht="15" customHeight="1">
      <c r="AJ568" s="899">
        <f t="shared" si="36"/>
        <v>0</v>
      </c>
      <c r="AK568" s="899">
        <f t="shared" si="36"/>
        <v>0</v>
      </c>
      <c r="AL568" s="905">
        <f>IFERROR(INDEX(G568:R568,1,MATCH(Parametres!$B$3,G$1:R$1,0)-1)*IF(OR(F568="L",F568="S",F568="I"),-1,1),"")</f>
        <v>0</v>
      </c>
      <c r="AM568" s="905">
        <f t="shared" si="33"/>
        <v>0</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f t="shared" si="34"/>
        <v>0</v>
      </c>
      <c r="AU568" s="488">
        <f t="shared" si="34"/>
        <v>0</v>
      </c>
      <c r="AV568" s="899">
        <f>IFERROR(INDEX(V568:AG568,1,MATCH(Parametres!$B$3,V$1:AG$1,0)-1)*IF(OR(C568="L",C568="S",C568="I"),-1,1),"")</f>
        <v>0</v>
      </c>
      <c r="AW568" s="899">
        <f t="shared" si="35"/>
        <v>0</v>
      </c>
      <c r="AX568" s="899">
        <f>INDEX(V568:AG568,1,MATCH(Parametres!$B$3,V$1:AG$1,0))*IF(OR(C568="L",C568="S",C568="I"),-1,1)</f>
        <v>0</v>
      </c>
      <c r="AY568" s="487" t="s">
        <v>337</v>
      </c>
      <c r="AZ568" s="487" t="e">
        <f>+VLOOKUP($AJ568,Data_Validation!$A:$E,5,0)</f>
        <v>#N/A</v>
      </c>
    </row>
    <row r="569" spans="36:52" ht="15" customHeight="1">
      <c r="AJ569" s="899">
        <f t="shared" si="36"/>
        <v>0</v>
      </c>
      <c r="AK569" s="899">
        <f t="shared" si="36"/>
        <v>0</v>
      </c>
      <c r="AL569" s="905">
        <f>IFERROR(INDEX(G569:R569,1,MATCH(Parametres!$B$3,G$1:R$1,0)-1)*IF(OR(F569="L",F569="S",F569="I"),-1,1),"")</f>
        <v>0</v>
      </c>
      <c r="AM569" s="905">
        <f t="shared" si="33"/>
        <v>0</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f t="shared" si="34"/>
        <v>0</v>
      </c>
      <c r="AU569" s="488">
        <f t="shared" si="34"/>
        <v>0</v>
      </c>
      <c r="AV569" s="899">
        <f>IFERROR(INDEX(V569:AG569,1,MATCH(Parametres!$B$3,V$1:AG$1,0)-1)*IF(OR(C569="L",C569="S",C569="I"),-1,1),"")</f>
        <v>0</v>
      </c>
      <c r="AW569" s="899">
        <f t="shared" si="35"/>
        <v>0</v>
      </c>
      <c r="AX569" s="899">
        <f>INDEX(V569:AG569,1,MATCH(Parametres!$B$3,V$1:AG$1,0))*IF(OR(C569="L",C569="S",C569="I"),-1,1)</f>
        <v>0</v>
      </c>
      <c r="AY569" s="487" t="s">
        <v>337</v>
      </c>
      <c r="AZ569" s="487" t="e">
        <f>+VLOOKUP($AJ569,Data_Validation!$A:$E,5,0)</f>
        <v>#N/A</v>
      </c>
    </row>
    <row r="570" spans="36:52" ht="15" customHeight="1">
      <c r="AJ570" s="899">
        <f t="shared" si="36"/>
        <v>0</v>
      </c>
      <c r="AK570" s="899">
        <f t="shared" si="36"/>
        <v>0</v>
      </c>
      <c r="AL570" s="905">
        <f>IFERROR(INDEX(G570:R570,1,MATCH(Parametres!$B$3,G$1:R$1,0)-1)*IF(OR(F570="L",F570="S",F570="I"),-1,1),"")</f>
        <v>0</v>
      </c>
      <c r="AM570" s="905">
        <f t="shared" si="33"/>
        <v>0</v>
      </c>
      <c r="AN570" s="905">
        <f>INDEX(G570:R570,1,MATCH(Parametres!$B$3,G$1:R$1,0))*IF(OR(F570="L",F570="S",F570="I"),-1,1)</f>
        <v>0</v>
      </c>
      <c r="AO570" s="487" t="e">
        <f>+VLOOKUP($AJ570,Data_Validation!$A:$D,1,0)</f>
        <v>#N/A</v>
      </c>
      <c r="AP570" s="487" t="e">
        <f>+VLOOKUP($AJ570,Data_Validation!$A:$D,3,0)</f>
        <v>#N/A</v>
      </c>
      <c r="AQ570" s="487" t="e">
        <f>+VLOOKUP($AJ570,Data_Validation!$A:$D,4,0)</f>
        <v>#N/A</v>
      </c>
      <c r="AR570" s="487" t="s">
        <v>299</v>
      </c>
      <c r="AS570" s="487" t="e">
        <f>+VLOOKUP($AJ570,Data_Validation!$A:$E,5,0)</f>
        <v>#N/A</v>
      </c>
      <c r="AT570" s="904">
        <f t="shared" si="34"/>
        <v>0</v>
      </c>
      <c r="AU570" s="488">
        <f t="shared" si="34"/>
        <v>0</v>
      </c>
      <c r="AV570" s="899">
        <f>IFERROR(INDEX(V570:AG570,1,MATCH(Parametres!$B$3,V$1:AG$1,0)-1)*IF(OR(C570="L",C570="S",C570="I"),-1,1),"")</f>
        <v>0</v>
      </c>
      <c r="AW570" s="899">
        <f t="shared" si="35"/>
        <v>0</v>
      </c>
      <c r="AX570" s="899">
        <f>INDEX(V570:AG570,1,MATCH(Parametres!$B$3,V$1:AG$1,0))*IF(OR(C570="L",C570="S",C570="I"),-1,1)</f>
        <v>0</v>
      </c>
      <c r="AY570" s="487" t="s">
        <v>337</v>
      </c>
      <c r="AZ570" s="487" t="e">
        <f>+VLOOKUP($AJ570,Data_Validation!$A:$E,5,0)</f>
        <v>#N/A</v>
      </c>
    </row>
    <row r="571" spans="36:52" ht="15" customHeight="1">
      <c r="AJ571" s="899">
        <f t="shared" si="36"/>
        <v>0</v>
      </c>
      <c r="AK571" s="899">
        <f t="shared" si="36"/>
        <v>0</v>
      </c>
      <c r="AL571" s="905">
        <f>IFERROR(INDEX(G571:R571,1,MATCH(Parametres!$B$3,G$1:R$1,0)-1)*IF(OR(F571="L",F571="S",F571="I"),-1,1),"")</f>
        <v>0</v>
      </c>
      <c r="AM571" s="905">
        <f t="shared" si="33"/>
        <v>0</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f t="shared" si="34"/>
        <v>0</v>
      </c>
      <c r="AU571" s="488">
        <f t="shared" si="34"/>
        <v>0</v>
      </c>
      <c r="AV571" s="899">
        <f>IFERROR(INDEX(V571:AG571,1,MATCH(Parametres!$B$3,V$1:AG$1,0)-1)*IF(OR(C571="L",C571="S",C571="I"),-1,1),"")</f>
        <v>0</v>
      </c>
      <c r="AW571" s="899">
        <f t="shared" si="35"/>
        <v>0</v>
      </c>
      <c r="AX571" s="899">
        <f>INDEX(V571:AG571,1,MATCH(Parametres!$B$3,V$1:AG$1,0))*IF(OR(C571="L",C571="S",C571="I"),-1,1)</f>
        <v>0</v>
      </c>
      <c r="AY571" s="487" t="s">
        <v>337</v>
      </c>
      <c r="AZ571" s="487" t="e">
        <f>+VLOOKUP($AJ571,Data_Validation!$A:$E,5,0)</f>
        <v>#N/A</v>
      </c>
    </row>
    <row r="572" spans="36:52" ht="15" customHeight="1">
      <c r="AJ572" s="899">
        <f t="shared" si="36"/>
        <v>0</v>
      </c>
      <c r="AK572" s="899">
        <f t="shared" si="36"/>
        <v>0</v>
      </c>
      <c r="AL572" s="905">
        <f>IFERROR(INDEX(G572:R572,1,MATCH(Parametres!$B$3,G$1:R$1,0)-1)*IF(OR(F572="L",F572="S",F572="I"),-1,1),"")</f>
        <v>0</v>
      </c>
      <c r="AM572" s="905">
        <f t="shared" si="33"/>
        <v>0</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f t="shared" si="34"/>
        <v>0</v>
      </c>
      <c r="AU572" s="488">
        <f t="shared" si="34"/>
        <v>0</v>
      </c>
      <c r="AV572" s="899">
        <f>IFERROR(INDEX(V572:AG572,1,MATCH(Parametres!$B$3,V$1:AG$1,0)-1)*IF(OR(C572="L",C572="S",C572="I"),-1,1),"")</f>
        <v>0</v>
      </c>
      <c r="AW572" s="899">
        <f t="shared" si="35"/>
        <v>0</v>
      </c>
      <c r="AX572" s="899">
        <f>INDEX(V572:AG572,1,MATCH(Parametres!$B$3,V$1:AG$1,0))*IF(OR(C572="L",C572="S",C572="I"),-1,1)</f>
        <v>0</v>
      </c>
      <c r="AY572" s="487" t="s">
        <v>337</v>
      </c>
      <c r="AZ572" s="487" t="e">
        <f>+VLOOKUP($AJ572,Data_Validation!$A:$E,5,0)</f>
        <v>#N/A</v>
      </c>
    </row>
    <row r="573" spans="36:52" ht="15" customHeight="1">
      <c r="AJ573" s="899">
        <f t="shared" si="36"/>
        <v>0</v>
      </c>
      <c r="AK573" s="899">
        <f t="shared" si="36"/>
        <v>0</v>
      </c>
      <c r="AL573" s="905">
        <f>IFERROR(INDEX(G573:R573,1,MATCH(Parametres!$B$3,G$1:R$1,0)-1)*IF(OR(F573="L",F573="S",F573="I"),-1,1),"")</f>
        <v>0</v>
      </c>
      <c r="AM573" s="905">
        <f t="shared" si="33"/>
        <v>0</v>
      </c>
      <c r="AN573" s="905">
        <f>INDEX(G573:R573,1,MATCH(Parametres!$B$3,G$1:R$1,0))*IF(OR(F573="L",F573="S",F573="I"),-1,1)</f>
        <v>0</v>
      </c>
      <c r="AO573" s="487" t="e">
        <f>+VLOOKUP($AJ573,Data_Validation!$A:$D,1,0)</f>
        <v>#N/A</v>
      </c>
      <c r="AP573" s="487" t="e">
        <f>+VLOOKUP($AJ573,Data_Validation!$A:$D,3,0)</f>
        <v>#N/A</v>
      </c>
      <c r="AQ573" s="487" t="e">
        <f>+VLOOKUP($AJ573,Data_Validation!$A:$D,4,0)</f>
        <v>#N/A</v>
      </c>
      <c r="AR573" s="487" t="s">
        <v>299</v>
      </c>
      <c r="AS573" s="487" t="e">
        <f>+VLOOKUP($AJ573,Data_Validation!$A:$E,5,0)</f>
        <v>#N/A</v>
      </c>
      <c r="AT573" s="904">
        <f t="shared" si="34"/>
        <v>0</v>
      </c>
      <c r="AU573" s="488">
        <f t="shared" si="34"/>
        <v>0</v>
      </c>
      <c r="AV573" s="899">
        <f>IFERROR(INDEX(V573:AG573,1,MATCH(Parametres!$B$3,V$1:AG$1,0)-1)*IF(OR(C573="L",C573="S",C573="I"),-1,1),"")</f>
        <v>0</v>
      </c>
      <c r="AW573" s="899">
        <f t="shared" si="35"/>
        <v>0</v>
      </c>
      <c r="AX573" s="899">
        <f>INDEX(V573:AG573,1,MATCH(Parametres!$B$3,V$1:AG$1,0))*IF(OR(C573="L",C573="S",C573="I"),-1,1)</f>
        <v>0</v>
      </c>
      <c r="AY573" s="487" t="s">
        <v>337</v>
      </c>
      <c r="AZ573" s="487" t="e">
        <f>+VLOOKUP($AJ573,Data_Validation!$A:$E,5,0)</f>
        <v>#N/A</v>
      </c>
    </row>
    <row r="574" spans="36:52" ht="15" customHeight="1">
      <c r="AJ574" s="899">
        <f t="shared" si="36"/>
        <v>0</v>
      </c>
      <c r="AK574" s="899">
        <f t="shared" si="36"/>
        <v>0</v>
      </c>
      <c r="AL574" s="905">
        <f>IFERROR(INDEX(G574:R574,1,MATCH(Parametres!$B$3,G$1:R$1,0)-1)*IF(OR(F574="L",F574="S",F574="I"),-1,1),"")</f>
        <v>0</v>
      </c>
      <c r="AM574" s="905">
        <f t="shared" si="33"/>
        <v>0</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f t="shared" si="34"/>
        <v>0</v>
      </c>
      <c r="AU574" s="488">
        <f t="shared" si="34"/>
        <v>0</v>
      </c>
      <c r="AV574" s="899">
        <f>IFERROR(INDEX(V574:AG574,1,MATCH(Parametres!$B$3,V$1:AG$1,0)-1)*IF(OR(C574="L",C574="S",C574="I"),-1,1),"")</f>
        <v>0</v>
      </c>
      <c r="AW574" s="899">
        <f t="shared" si="35"/>
        <v>0</v>
      </c>
      <c r="AX574" s="899">
        <f>INDEX(V574:AG574,1,MATCH(Parametres!$B$3,V$1:AG$1,0))*IF(OR(C574="L",C574="S",C574="I"),-1,1)</f>
        <v>0</v>
      </c>
      <c r="AY574" s="487" t="s">
        <v>337</v>
      </c>
      <c r="AZ574" s="487" t="e">
        <f>+VLOOKUP($AJ574,Data_Validation!$A:$E,5,0)</f>
        <v>#N/A</v>
      </c>
    </row>
    <row r="575" spans="36:52" ht="15" customHeight="1">
      <c r="AJ575" s="899">
        <f t="shared" si="36"/>
        <v>0</v>
      </c>
      <c r="AK575" s="899">
        <f t="shared" si="36"/>
        <v>0</v>
      </c>
      <c r="AL575" s="905">
        <f>IFERROR(INDEX(G575:R575,1,MATCH(Parametres!$B$3,G$1:R$1,0)-1)*IF(OR(F575="L",F575="S",F575="I"),-1,1),"")</f>
        <v>0</v>
      </c>
      <c r="AM575" s="905">
        <f t="shared" si="33"/>
        <v>0</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f t="shared" si="34"/>
        <v>0</v>
      </c>
      <c r="AU575" s="488">
        <f t="shared" si="34"/>
        <v>0</v>
      </c>
      <c r="AV575" s="899">
        <f>IFERROR(INDEX(V575:AG575,1,MATCH(Parametres!$B$3,V$1:AG$1,0)-1)*IF(OR(C575="L",C575="S",C575="I"),-1,1),"")</f>
        <v>0</v>
      </c>
      <c r="AW575" s="899">
        <f t="shared" si="35"/>
        <v>0</v>
      </c>
      <c r="AX575" s="899">
        <f>INDEX(V575:AG575,1,MATCH(Parametres!$B$3,V$1:AG$1,0))*IF(OR(C575="L",C575="S",C575="I"),-1,1)</f>
        <v>0</v>
      </c>
      <c r="AY575" s="487" t="s">
        <v>337</v>
      </c>
      <c r="AZ575" s="487" t="e">
        <f>+VLOOKUP($AJ575,Data_Validation!$A:$E,5,0)</f>
        <v>#N/A</v>
      </c>
    </row>
    <row r="576" spans="36:52" ht="15" customHeight="1">
      <c r="AJ576" s="899">
        <f t="shared" si="36"/>
        <v>0</v>
      </c>
      <c r="AK576" s="899">
        <f t="shared" si="36"/>
        <v>0</v>
      </c>
      <c r="AL576" s="905">
        <f>IFERROR(INDEX(G576:R576,1,MATCH(Parametres!$B$3,G$1:R$1,0)-1)*IF(OR(F576="L",F576="S",F576="I"),-1,1),"")</f>
        <v>0</v>
      </c>
      <c r="AM576" s="905">
        <f t="shared" si="33"/>
        <v>0</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f t="shared" si="34"/>
        <v>0</v>
      </c>
      <c r="AU576" s="488">
        <f t="shared" si="34"/>
        <v>0</v>
      </c>
      <c r="AV576" s="899">
        <f>IFERROR(INDEX(V576:AG576,1,MATCH(Parametres!$B$3,V$1:AG$1,0)-1)*IF(OR(C576="L",C576="S",C576="I"),-1,1),"")</f>
        <v>0</v>
      </c>
      <c r="AW576" s="899">
        <f t="shared" si="35"/>
        <v>0</v>
      </c>
      <c r="AX576" s="899">
        <f>INDEX(V576:AG576,1,MATCH(Parametres!$B$3,V$1:AG$1,0))*IF(OR(C576="L",C576="S",C576="I"),-1,1)</f>
        <v>0</v>
      </c>
      <c r="AY576" s="487" t="s">
        <v>337</v>
      </c>
      <c r="AZ576" s="487" t="e">
        <f>+VLOOKUP($AJ576,Data_Validation!$A:$E,5,0)</f>
        <v>#N/A</v>
      </c>
    </row>
    <row r="577" spans="36:52" ht="15" customHeight="1">
      <c r="AJ577" s="899">
        <f t="shared" si="36"/>
        <v>0</v>
      </c>
      <c r="AK577" s="899">
        <f t="shared" si="36"/>
        <v>0</v>
      </c>
      <c r="AL577" s="905">
        <f>IFERROR(INDEX(G577:R577,1,MATCH(Parametres!$B$3,G$1:R$1,0)-1)*IF(OR(F577="L",F577="S",F577="I"),-1,1),"")</f>
        <v>0</v>
      </c>
      <c r="AM577" s="905">
        <f t="shared" si="33"/>
        <v>0</v>
      </c>
      <c r="AN577" s="905">
        <f>INDEX(G577:R577,1,MATCH(Parametres!$B$3,G$1:R$1,0))*IF(OR(F577="L",F577="S",F577="I"),-1,1)</f>
        <v>0</v>
      </c>
      <c r="AO577" s="487" t="e">
        <f>+VLOOKUP($AJ577,Data_Validation!$A:$D,1,0)</f>
        <v>#N/A</v>
      </c>
      <c r="AP577" s="487" t="e">
        <f>+VLOOKUP($AJ577,Data_Validation!$A:$D,3,0)</f>
        <v>#N/A</v>
      </c>
      <c r="AQ577" s="487" t="e">
        <f>+VLOOKUP($AJ577,Data_Validation!$A:$D,4,0)</f>
        <v>#N/A</v>
      </c>
      <c r="AR577" s="487" t="s">
        <v>299</v>
      </c>
      <c r="AS577" s="487" t="e">
        <f>+VLOOKUP($AJ577,Data_Validation!$A:$E,5,0)</f>
        <v>#N/A</v>
      </c>
      <c r="AT577" s="904">
        <f t="shared" si="34"/>
        <v>0</v>
      </c>
      <c r="AU577" s="488">
        <f t="shared" si="34"/>
        <v>0</v>
      </c>
      <c r="AV577" s="899">
        <f>IFERROR(INDEX(V577:AG577,1,MATCH(Parametres!$B$3,V$1:AG$1,0)-1)*IF(OR(C577="L",C577="S",C577="I"),-1,1),"")</f>
        <v>0</v>
      </c>
      <c r="AW577" s="899">
        <f t="shared" si="35"/>
        <v>0</v>
      </c>
      <c r="AX577" s="899">
        <f>INDEX(V577:AG577,1,MATCH(Parametres!$B$3,V$1:AG$1,0))*IF(OR(C577="L",C577="S",C577="I"),-1,1)</f>
        <v>0</v>
      </c>
      <c r="AY577" s="487" t="s">
        <v>337</v>
      </c>
      <c r="AZ577" s="487" t="e">
        <f>+VLOOKUP($AJ577,Data_Validation!$A:$E,5,0)</f>
        <v>#N/A</v>
      </c>
    </row>
    <row r="578" spans="36:52" ht="15" customHeight="1">
      <c r="AJ578" s="899">
        <f t="shared" si="36"/>
        <v>0</v>
      </c>
      <c r="AK578" s="899">
        <f t="shared" si="36"/>
        <v>0</v>
      </c>
      <c r="AL578" s="905">
        <f>IFERROR(INDEX(G578:R578,1,MATCH(Parametres!$B$3,G$1:R$1,0)-1)*IF(OR(F578="L",F578="S",F578="I"),-1,1),"")</f>
        <v>0</v>
      </c>
      <c r="AM578" s="905">
        <f t="shared" si="33"/>
        <v>0</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f t="shared" si="34"/>
        <v>0</v>
      </c>
      <c r="AU578" s="488">
        <f t="shared" si="34"/>
        <v>0</v>
      </c>
      <c r="AV578" s="899">
        <f>IFERROR(INDEX(V578:AG578,1,MATCH(Parametres!$B$3,V$1:AG$1,0)-1)*IF(OR(C578="L",C578="S",C578="I"),-1,1),"")</f>
        <v>0</v>
      </c>
      <c r="AW578" s="899">
        <f t="shared" si="35"/>
        <v>0</v>
      </c>
      <c r="AX578" s="899">
        <f>INDEX(V578:AG578,1,MATCH(Parametres!$B$3,V$1:AG$1,0))*IF(OR(C578="L",C578="S",C578="I"),-1,1)</f>
        <v>0</v>
      </c>
      <c r="AY578" s="487" t="s">
        <v>337</v>
      </c>
      <c r="AZ578" s="487" t="e">
        <f>+VLOOKUP($AJ578,Data_Validation!$A:$E,5,0)</f>
        <v>#N/A</v>
      </c>
    </row>
    <row r="579" spans="36:52" ht="15" customHeight="1">
      <c r="AJ579" s="899">
        <f t="shared" si="36"/>
        <v>0</v>
      </c>
      <c r="AK579" s="899">
        <f t="shared" si="36"/>
        <v>0</v>
      </c>
      <c r="AL579" s="905">
        <f>IFERROR(INDEX(G579:R579,1,MATCH(Parametres!$B$3,G$1:R$1,0)-1)*IF(OR(F579="L",F579="S",F579="I"),-1,1),"")</f>
        <v>0</v>
      </c>
      <c r="AM579" s="905">
        <f t="shared" si="33"/>
        <v>0</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f t="shared" si="34"/>
        <v>0</v>
      </c>
      <c r="AU579" s="488">
        <f t="shared" si="34"/>
        <v>0</v>
      </c>
      <c r="AV579" s="899">
        <f>IFERROR(INDEX(V579:AG579,1,MATCH(Parametres!$B$3,V$1:AG$1,0)-1)*IF(OR(C579="L",C579="S",C579="I"),-1,1),"")</f>
        <v>0</v>
      </c>
      <c r="AW579" s="899">
        <f t="shared" si="35"/>
        <v>0</v>
      </c>
      <c r="AX579" s="899">
        <f>INDEX(V579:AG579,1,MATCH(Parametres!$B$3,V$1:AG$1,0))*IF(OR(C579="L",C579="S",C579="I"),-1,1)</f>
        <v>0</v>
      </c>
      <c r="AY579" s="487" t="s">
        <v>337</v>
      </c>
      <c r="AZ579" s="487" t="e">
        <f>+VLOOKUP($AJ579,Data_Validation!$A:$E,5,0)</f>
        <v>#N/A</v>
      </c>
    </row>
    <row r="580" spans="36:52" ht="15" customHeight="1">
      <c r="AJ580" s="899">
        <f t="shared" si="36"/>
        <v>0</v>
      </c>
      <c r="AK580" s="899">
        <f t="shared" si="36"/>
        <v>0</v>
      </c>
      <c r="AL580" s="905">
        <f>IFERROR(INDEX(G580:R580,1,MATCH(Parametres!$B$3,G$1:R$1,0)-1)*IF(OR(F580="L",F580="S",F580="I"),-1,1),"")</f>
        <v>0</v>
      </c>
      <c r="AM580" s="905">
        <f t="shared" ref="AM580:AM643" si="37">AN580-AL580</f>
        <v>0</v>
      </c>
      <c r="AN580" s="905">
        <f>INDEX(G580:R580,1,MATCH(Parametres!$B$3,G$1:R$1,0))*IF(OR(F580="L",F580="S",F580="I"),-1,1)</f>
        <v>0</v>
      </c>
      <c r="AO580" s="487" t="e">
        <f>+VLOOKUP($AJ580,Data_Validation!$A:$D,1,0)</f>
        <v>#N/A</v>
      </c>
      <c r="AP580" s="487" t="e">
        <f>+VLOOKUP($AJ580,Data_Validation!$A:$D,3,0)</f>
        <v>#N/A</v>
      </c>
      <c r="AQ580" s="487" t="e">
        <f>+VLOOKUP($AJ580,Data_Validation!$A:$D,4,0)</f>
        <v>#N/A</v>
      </c>
      <c r="AR580" s="487" t="s">
        <v>299</v>
      </c>
      <c r="AS580" s="487" t="e">
        <f>+VLOOKUP($AJ580,Data_Validation!$A:$E,5,0)</f>
        <v>#N/A</v>
      </c>
      <c r="AT580" s="904">
        <f t="shared" ref="AT580:AU643" si="38">C580</f>
        <v>0</v>
      </c>
      <c r="AU580" s="488">
        <f t="shared" si="38"/>
        <v>0</v>
      </c>
      <c r="AV580" s="899">
        <f>IFERROR(INDEX(V580:AG580,1,MATCH(Parametres!$B$3,V$1:AG$1,0)-1)*IF(OR(C580="L",C580="S",C580="I"),-1,1),"")</f>
        <v>0</v>
      </c>
      <c r="AW580" s="899">
        <f t="shared" ref="AW580:AW643" si="39">AX580-AV580</f>
        <v>0</v>
      </c>
      <c r="AX580" s="899">
        <f>INDEX(V580:AG580,1,MATCH(Parametres!$B$3,V$1:AG$1,0))*IF(OR(C580="L",C580="S",C580="I"),-1,1)</f>
        <v>0</v>
      </c>
      <c r="AY580" s="487" t="s">
        <v>337</v>
      </c>
      <c r="AZ580" s="487" t="e">
        <f>+VLOOKUP($AJ580,Data_Validation!$A:$E,5,0)</f>
        <v>#N/A</v>
      </c>
    </row>
    <row r="581" spans="36:52" ht="15" customHeight="1">
      <c r="AJ581" s="899">
        <f t="shared" si="36"/>
        <v>0</v>
      </c>
      <c r="AK581" s="899">
        <f t="shared" si="36"/>
        <v>0</v>
      </c>
      <c r="AL581" s="905">
        <f>IFERROR(INDEX(G581:R581,1,MATCH(Parametres!$B$3,G$1:R$1,0)-1)*IF(OR(F581="L",F581="S",F581="I"),-1,1),"")</f>
        <v>0</v>
      </c>
      <c r="AM581" s="905">
        <f t="shared" si="37"/>
        <v>0</v>
      </c>
      <c r="AN581" s="905">
        <f>INDEX(G581:R581,1,MATCH(Parametres!$B$3,G$1:R$1,0))*IF(OR(F581="L",F581="S",F581="I"),-1,1)</f>
        <v>0</v>
      </c>
      <c r="AO581" s="487" t="e">
        <f>+VLOOKUP($AJ581,Data_Validation!$A:$D,1,0)</f>
        <v>#N/A</v>
      </c>
      <c r="AP581" s="487" t="e">
        <f>+VLOOKUP($AJ581,Data_Validation!$A:$D,3,0)</f>
        <v>#N/A</v>
      </c>
      <c r="AQ581" s="487" t="e">
        <f>+VLOOKUP($AJ581,Data_Validation!$A:$D,4,0)</f>
        <v>#N/A</v>
      </c>
      <c r="AR581" s="487" t="s">
        <v>299</v>
      </c>
      <c r="AS581" s="487" t="e">
        <f>+VLOOKUP($AJ581,Data_Validation!$A:$E,5,0)</f>
        <v>#N/A</v>
      </c>
      <c r="AT581" s="904">
        <f t="shared" si="38"/>
        <v>0</v>
      </c>
      <c r="AU581" s="488">
        <f t="shared" si="38"/>
        <v>0</v>
      </c>
      <c r="AV581" s="899">
        <f>IFERROR(INDEX(V581:AG581,1,MATCH(Parametres!$B$3,V$1:AG$1,0)-1)*IF(OR(C581="L",C581="S",C581="I"),-1,1),"")</f>
        <v>0</v>
      </c>
      <c r="AW581" s="899">
        <f t="shared" si="39"/>
        <v>0</v>
      </c>
      <c r="AX581" s="899">
        <f>INDEX(V581:AG581,1,MATCH(Parametres!$B$3,V$1:AG$1,0))*IF(OR(C581="L",C581="S",C581="I"),-1,1)</f>
        <v>0</v>
      </c>
      <c r="AY581" s="487" t="s">
        <v>337</v>
      </c>
      <c r="AZ581" s="487" t="e">
        <f>+VLOOKUP($AJ581,Data_Validation!$A:$E,5,0)</f>
        <v>#N/A</v>
      </c>
    </row>
    <row r="582" spans="36:52" ht="15" customHeight="1">
      <c r="AJ582" s="899">
        <f t="shared" si="36"/>
        <v>0</v>
      </c>
      <c r="AK582" s="899">
        <f t="shared" si="36"/>
        <v>0</v>
      </c>
      <c r="AL582" s="905">
        <f>IFERROR(INDEX(G582:R582,1,MATCH(Parametres!$B$3,G$1:R$1,0)-1)*IF(OR(F582="L",F582="S",F582="I"),-1,1),"")</f>
        <v>0</v>
      </c>
      <c r="AM582" s="905">
        <f t="shared" si="37"/>
        <v>0</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f t="shared" si="38"/>
        <v>0</v>
      </c>
      <c r="AU582" s="488">
        <f t="shared" si="38"/>
        <v>0</v>
      </c>
      <c r="AV582" s="899">
        <f>IFERROR(INDEX(V582:AG582,1,MATCH(Parametres!$B$3,V$1:AG$1,0)-1)*IF(OR(C582="L",C582="S",C582="I"),-1,1),"")</f>
        <v>0</v>
      </c>
      <c r="AW582" s="899">
        <f t="shared" si="39"/>
        <v>0</v>
      </c>
      <c r="AX582" s="899">
        <f>INDEX(V582:AG582,1,MATCH(Parametres!$B$3,V$1:AG$1,0))*IF(OR(C582="L",C582="S",C582="I"),-1,1)</f>
        <v>0</v>
      </c>
      <c r="AY582" s="487" t="s">
        <v>337</v>
      </c>
      <c r="AZ582" s="487" t="e">
        <f>+VLOOKUP($AJ582,Data_Validation!$A:$E,5,0)</f>
        <v>#N/A</v>
      </c>
    </row>
    <row r="583" spans="36:52" ht="15" customHeight="1">
      <c r="AJ583" s="899">
        <f t="shared" si="36"/>
        <v>0</v>
      </c>
      <c r="AK583" s="899">
        <f t="shared" si="36"/>
        <v>0</v>
      </c>
      <c r="AL583" s="905">
        <f>IFERROR(INDEX(G583:R583,1,MATCH(Parametres!$B$3,G$1:R$1,0)-1)*IF(OR(F583="L",F583="S",F583="I"),-1,1),"")</f>
        <v>0</v>
      </c>
      <c r="AM583" s="905">
        <f t="shared" si="37"/>
        <v>0</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f t="shared" si="38"/>
        <v>0</v>
      </c>
      <c r="AU583" s="488">
        <f t="shared" si="38"/>
        <v>0</v>
      </c>
      <c r="AV583" s="899">
        <f>IFERROR(INDEX(V583:AG583,1,MATCH(Parametres!$B$3,V$1:AG$1,0)-1)*IF(OR(C583="L",C583="S",C583="I"),-1,1),"")</f>
        <v>0</v>
      </c>
      <c r="AW583" s="899">
        <f t="shared" si="39"/>
        <v>0</v>
      </c>
      <c r="AX583" s="899">
        <f>INDEX(V583:AG583,1,MATCH(Parametres!$B$3,V$1:AG$1,0))*IF(OR(C583="L",C583="S",C583="I"),-1,1)</f>
        <v>0</v>
      </c>
      <c r="AY583" s="487" t="s">
        <v>337</v>
      </c>
      <c r="AZ583" s="487" t="e">
        <f>+VLOOKUP($AJ583,Data_Validation!$A:$E,5,0)</f>
        <v>#N/A</v>
      </c>
    </row>
    <row r="584" spans="36:52" ht="15" customHeight="1">
      <c r="AJ584" s="899">
        <f t="shared" si="36"/>
        <v>0</v>
      </c>
      <c r="AK584" s="899">
        <f t="shared" si="36"/>
        <v>0</v>
      </c>
      <c r="AL584" s="905">
        <f>IFERROR(INDEX(G584:R584,1,MATCH(Parametres!$B$3,G$1:R$1,0)-1)*IF(OR(F584="L",F584="S",F584="I"),-1,1),"")</f>
        <v>0</v>
      </c>
      <c r="AM584" s="905">
        <f t="shared" si="37"/>
        <v>0</v>
      </c>
      <c r="AN584" s="905">
        <f>INDEX(G584:R584,1,MATCH(Parametres!$B$3,G$1:R$1,0))*IF(OR(F584="L",F584="S",F584="I"),-1,1)</f>
        <v>0</v>
      </c>
      <c r="AO584" s="487" t="e">
        <f>+VLOOKUP($AJ584,Data_Validation!$A:$D,1,0)</f>
        <v>#N/A</v>
      </c>
      <c r="AP584" s="487" t="e">
        <f>+VLOOKUP($AJ584,Data_Validation!$A:$D,3,0)</f>
        <v>#N/A</v>
      </c>
      <c r="AQ584" s="487" t="e">
        <f>+VLOOKUP($AJ584,Data_Validation!$A:$D,4,0)</f>
        <v>#N/A</v>
      </c>
      <c r="AR584" s="487" t="s">
        <v>299</v>
      </c>
      <c r="AS584" s="487" t="e">
        <f>+VLOOKUP($AJ584,Data_Validation!$A:$E,5,0)</f>
        <v>#N/A</v>
      </c>
      <c r="AT584" s="904">
        <f t="shared" si="38"/>
        <v>0</v>
      </c>
      <c r="AU584" s="488">
        <f t="shared" si="38"/>
        <v>0</v>
      </c>
      <c r="AV584" s="899">
        <f>IFERROR(INDEX(V584:AG584,1,MATCH(Parametres!$B$3,V$1:AG$1,0)-1)*IF(OR(C584="L",C584="S",C584="I"),-1,1),"")</f>
        <v>0</v>
      </c>
      <c r="AW584" s="899">
        <f t="shared" si="39"/>
        <v>0</v>
      </c>
      <c r="AX584" s="899">
        <f>INDEX(V584:AG584,1,MATCH(Parametres!$B$3,V$1:AG$1,0))*IF(OR(C584="L",C584="S",C584="I"),-1,1)</f>
        <v>0</v>
      </c>
      <c r="AY584" s="487" t="s">
        <v>337</v>
      </c>
      <c r="AZ584" s="487" t="e">
        <f>+VLOOKUP($AJ584,Data_Validation!$A:$E,5,0)</f>
        <v>#N/A</v>
      </c>
    </row>
    <row r="585" spans="36:52" ht="15" customHeight="1">
      <c r="AJ585" s="899">
        <f t="shared" si="36"/>
        <v>0</v>
      </c>
      <c r="AK585" s="899">
        <f t="shared" si="36"/>
        <v>0</v>
      </c>
      <c r="AL585" s="905">
        <f>IFERROR(INDEX(G585:R585,1,MATCH(Parametres!$B$3,G$1:R$1,0)-1)*IF(OR(F585="L",F585="S",F585="I"),-1,1),"")</f>
        <v>0</v>
      </c>
      <c r="AM585" s="905">
        <f t="shared" si="37"/>
        <v>0</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f t="shared" si="38"/>
        <v>0</v>
      </c>
      <c r="AU585" s="488">
        <f t="shared" si="38"/>
        <v>0</v>
      </c>
      <c r="AV585" s="899">
        <f>IFERROR(INDEX(V585:AG585,1,MATCH(Parametres!$B$3,V$1:AG$1,0)-1)*IF(OR(C585="L",C585="S",C585="I"),-1,1),"")</f>
        <v>0</v>
      </c>
      <c r="AW585" s="899">
        <f t="shared" si="39"/>
        <v>0</v>
      </c>
      <c r="AX585" s="899">
        <f>INDEX(V585:AG585,1,MATCH(Parametres!$B$3,V$1:AG$1,0))*IF(OR(C585="L",C585="S",C585="I"),-1,1)</f>
        <v>0</v>
      </c>
      <c r="AY585" s="487" t="s">
        <v>337</v>
      </c>
      <c r="AZ585" s="487" t="e">
        <f>+VLOOKUP($AJ585,Data_Validation!$A:$E,5,0)</f>
        <v>#N/A</v>
      </c>
    </row>
    <row r="586" spans="36:52" ht="15" customHeight="1">
      <c r="AJ586" s="899">
        <f t="shared" si="36"/>
        <v>0</v>
      </c>
      <c r="AK586" s="899">
        <f t="shared" si="36"/>
        <v>0</v>
      </c>
      <c r="AL586" s="905">
        <f>IFERROR(INDEX(G586:R586,1,MATCH(Parametres!$B$3,G$1:R$1,0)-1)*IF(OR(F586="L",F586="S",F586="I"),-1,1),"")</f>
        <v>0</v>
      </c>
      <c r="AM586" s="905">
        <f t="shared" si="37"/>
        <v>0</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f t="shared" si="38"/>
        <v>0</v>
      </c>
      <c r="AU586" s="488">
        <f t="shared" si="38"/>
        <v>0</v>
      </c>
      <c r="AV586" s="899">
        <f>IFERROR(INDEX(V586:AG586,1,MATCH(Parametres!$B$3,V$1:AG$1,0)-1)*IF(OR(C586="L",C586="S",C586="I"),-1,1),"")</f>
        <v>0</v>
      </c>
      <c r="AW586" s="899">
        <f t="shared" si="39"/>
        <v>0</v>
      </c>
      <c r="AX586" s="899">
        <f>INDEX(V586:AG586,1,MATCH(Parametres!$B$3,V$1:AG$1,0))*IF(OR(C586="L",C586="S",C586="I"),-1,1)</f>
        <v>0</v>
      </c>
      <c r="AY586" s="487" t="s">
        <v>337</v>
      </c>
      <c r="AZ586" s="487" t="e">
        <f>+VLOOKUP($AJ586,Data_Validation!$A:$E,5,0)</f>
        <v>#N/A</v>
      </c>
    </row>
    <row r="587" spans="36:52" ht="15" customHeight="1">
      <c r="AJ587" s="899">
        <f t="shared" si="36"/>
        <v>0</v>
      </c>
      <c r="AK587" s="899">
        <f t="shared" si="36"/>
        <v>0</v>
      </c>
      <c r="AL587" s="905">
        <f>IFERROR(INDEX(G587:R587,1,MATCH(Parametres!$B$3,G$1:R$1,0)-1)*IF(OR(F587="L",F587="S",F587="I"),-1,1),"")</f>
        <v>0</v>
      </c>
      <c r="AM587" s="905">
        <f t="shared" si="37"/>
        <v>0</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f t="shared" si="38"/>
        <v>0</v>
      </c>
      <c r="AU587" s="488">
        <f t="shared" si="38"/>
        <v>0</v>
      </c>
      <c r="AV587" s="899">
        <f>IFERROR(INDEX(V587:AG587,1,MATCH(Parametres!$B$3,V$1:AG$1,0)-1)*IF(OR(C587="L",C587="S",C587="I"),-1,1),"")</f>
        <v>0</v>
      </c>
      <c r="AW587" s="899">
        <f t="shared" si="39"/>
        <v>0</v>
      </c>
      <c r="AX587" s="899">
        <f>INDEX(V587:AG587,1,MATCH(Parametres!$B$3,V$1:AG$1,0))*IF(OR(C587="L",C587="S",C587="I"),-1,1)</f>
        <v>0</v>
      </c>
      <c r="AY587" s="487" t="s">
        <v>337</v>
      </c>
      <c r="AZ587" s="487" t="e">
        <f>+VLOOKUP($AJ587,Data_Validation!$A:$E,5,0)</f>
        <v>#N/A</v>
      </c>
    </row>
    <row r="588" spans="36:52" ht="15" customHeight="1">
      <c r="AJ588" s="899">
        <f t="shared" si="36"/>
        <v>0</v>
      </c>
      <c r="AK588" s="899">
        <f t="shared" si="36"/>
        <v>0</v>
      </c>
      <c r="AL588" s="905">
        <f>IFERROR(INDEX(G588:R588,1,MATCH(Parametres!$B$3,G$1:R$1,0)-1)*IF(OR(F588="L",F588="S",F588="I"),-1,1),"")</f>
        <v>0</v>
      </c>
      <c r="AM588" s="905">
        <f t="shared" si="37"/>
        <v>0</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f t="shared" si="38"/>
        <v>0</v>
      </c>
      <c r="AU588" s="488">
        <f t="shared" si="38"/>
        <v>0</v>
      </c>
      <c r="AV588" s="899">
        <f>IFERROR(INDEX(V588:AG588,1,MATCH(Parametres!$B$3,V$1:AG$1,0)-1)*IF(OR(C588="L",C588="S",C588="I"),-1,1),"")</f>
        <v>0</v>
      </c>
      <c r="AW588" s="899">
        <f t="shared" si="39"/>
        <v>0</v>
      </c>
      <c r="AX588" s="899">
        <f>INDEX(V588:AG588,1,MATCH(Parametres!$B$3,V$1:AG$1,0))*IF(OR(C588="L",C588="S",C588="I"),-1,1)</f>
        <v>0</v>
      </c>
      <c r="AY588" s="487" t="s">
        <v>337</v>
      </c>
      <c r="AZ588" s="487" t="e">
        <f>+VLOOKUP($AJ588,Data_Validation!$A:$E,5,0)</f>
        <v>#N/A</v>
      </c>
    </row>
    <row r="589" spans="36:52" ht="15" customHeight="1">
      <c r="AJ589" s="899">
        <f t="shared" si="36"/>
        <v>0</v>
      </c>
      <c r="AK589" s="899">
        <f t="shared" si="36"/>
        <v>0</v>
      </c>
      <c r="AL589" s="905">
        <f>IFERROR(INDEX(G589:R589,1,MATCH(Parametres!$B$3,G$1:R$1,0)-1)*IF(OR(F589="L",F589="S",F589="I"),-1,1),"")</f>
        <v>0</v>
      </c>
      <c r="AM589" s="905">
        <f t="shared" si="37"/>
        <v>0</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f t="shared" si="38"/>
        <v>0</v>
      </c>
      <c r="AU589" s="488">
        <f t="shared" si="38"/>
        <v>0</v>
      </c>
      <c r="AV589" s="899">
        <f>IFERROR(INDEX(V589:AG589,1,MATCH(Parametres!$B$3,V$1:AG$1,0)-1)*IF(OR(C589="L",C589="S",C589="I"),-1,1),"")</f>
        <v>0</v>
      </c>
      <c r="AW589" s="899">
        <f t="shared" si="39"/>
        <v>0</v>
      </c>
      <c r="AX589" s="899">
        <f>INDEX(V589:AG589,1,MATCH(Parametres!$B$3,V$1:AG$1,0))*IF(OR(C589="L",C589="S",C589="I"),-1,1)</f>
        <v>0</v>
      </c>
      <c r="AY589" s="487" t="s">
        <v>337</v>
      </c>
      <c r="AZ589" s="487" t="e">
        <f>+VLOOKUP($AJ589,Data_Validation!$A:$E,5,0)</f>
        <v>#N/A</v>
      </c>
    </row>
    <row r="590" spans="36:52" ht="15" customHeight="1">
      <c r="AJ590" s="899">
        <f t="shared" si="36"/>
        <v>0</v>
      </c>
      <c r="AK590" s="899">
        <f t="shared" si="36"/>
        <v>0</v>
      </c>
      <c r="AL590" s="905">
        <f>IFERROR(INDEX(G590:R590,1,MATCH(Parametres!$B$3,G$1:R$1,0)-1)*IF(OR(F590="L",F590="S",F590="I"),-1,1),"")</f>
        <v>0</v>
      </c>
      <c r="AM590" s="905">
        <f t="shared" si="37"/>
        <v>0</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f t="shared" si="38"/>
        <v>0</v>
      </c>
      <c r="AU590" s="488">
        <f t="shared" si="38"/>
        <v>0</v>
      </c>
      <c r="AV590" s="899">
        <f>IFERROR(INDEX(V590:AG590,1,MATCH(Parametres!$B$3,V$1:AG$1,0)-1)*IF(OR(C590="L",C590="S",C590="I"),-1,1),"")</f>
        <v>0</v>
      </c>
      <c r="AW590" s="899">
        <f t="shared" si="39"/>
        <v>0</v>
      </c>
      <c r="AX590" s="899">
        <f>INDEX(V590:AG590,1,MATCH(Parametres!$B$3,V$1:AG$1,0))*IF(OR(C590="L",C590="S",C590="I"),-1,1)</f>
        <v>0</v>
      </c>
      <c r="AY590" s="487" t="s">
        <v>337</v>
      </c>
      <c r="AZ590" s="487" t="e">
        <f>+VLOOKUP($AJ590,Data_Validation!$A:$E,5,0)</f>
        <v>#N/A</v>
      </c>
    </row>
    <row r="591" spans="36:52" ht="15" customHeight="1">
      <c r="AJ591" s="899">
        <f t="shared" si="36"/>
        <v>0</v>
      </c>
      <c r="AK591" s="899">
        <f t="shared" si="36"/>
        <v>0</v>
      </c>
      <c r="AL591" s="905">
        <f>IFERROR(INDEX(G591:R591,1,MATCH(Parametres!$B$3,G$1:R$1,0)-1)*IF(OR(F591="L",F591="S",F591="I"),-1,1),"")</f>
        <v>0</v>
      </c>
      <c r="AM591" s="905">
        <f t="shared" si="37"/>
        <v>0</v>
      </c>
      <c r="AN591" s="905">
        <f>INDEX(G591:R591,1,MATCH(Parametres!$B$3,G$1:R$1,0))*IF(OR(F591="L",F591="S",F591="I"),-1,1)</f>
        <v>0</v>
      </c>
      <c r="AO591" s="487" t="e">
        <f>+VLOOKUP($AJ591,Data_Validation!$A:$D,1,0)</f>
        <v>#N/A</v>
      </c>
      <c r="AP591" s="487" t="e">
        <f>+VLOOKUP($AJ591,Data_Validation!$A:$D,3,0)</f>
        <v>#N/A</v>
      </c>
      <c r="AQ591" s="487" t="e">
        <f>+VLOOKUP($AJ591,Data_Validation!$A:$D,4,0)</f>
        <v>#N/A</v>
      </c>
      <c r="AR591" s="487" t="s">
        <v>299</v>
      </c>
      <c r="AS591" s="487" t="e">
        <f>+VLOOKUP($AJ591,Data_Validation!$A:$E,5,0)</f>
        <v>#N/A</v>
      </c>
      <c r="AT591" s="904">
        <f t="shared" si="38"/>
        <v>0</v>
      </c>
      <c r="AU591" s="488">
        <f t="shared" si="38"/>
        <v>0</v>
      </c>
      <c r="AV591" s="899">
        <f>IFERROR(INDEX(V591:AG591,1,MATCH(Parametres!$B$3,V$1:AG$1,0)-1)*IF(OR(C591="L",C591="S",C591="I"),-1,1),"")</f>
        <v>0</v>
      </c>
      <c r="AW591" s="899">
        <f t="shared" si="39"/>
        <v>0</v>
      </c>
      <c r="AX591" s="899">
        <f>INDEX(V591:AG591,1,MATCH(Parametres!$B$3,V$1:AG$1,0))*IF(OR(C591="L",C591="S",C591="I"),-1,1)</f>
        <v>0</v>
      </c>
      <c r="AY591" s="487" t="s">
        <v>337</v>
      </c>
      <c r="AZ591" s="487" t="e">
        <f>+VLOOKUP($AJ591,Data_Validation!$A:$E,5,0)</f>
        <v>#N/A</v>
      </c>
    </row>
    <row r="592" spans="36:52" ht="15" customHeight="1">
      <c r="AJ592" s="899">
        <f t="shared" si="36"/>
        <v>0</v>
      </c>
      <c r="AK592" s="899">
        <f t="shared" si="36"/>
        <v>0</v>
      </c>
      <c r="AL592" s="905">
        <f>IFERROR(INDEX(G592:R592,1,MATCH(Parametres!$B$3,G$1:R$1,0)-1)*IF(OR(F592="L",F592="S",F592="I"),-1,1),"")</f>
        <v>0</v>
      </c>
      <c r="AM592" s="905">
        <f t="shared" si="37"/>
        <v>0</v>
      </c>
      <c r="AN592" s="905">
        <f>INDEX(G592:R592,1,MATCH(Parametres!$B$3,G$1:R$1,0))*IF(OR(F592="L",F592="S",F592="I"),-1,1)</f>
        <v>0</v>
      </c>
      <c r="AO592" s="487" t="e">
        <f>+VLOOKUP($AJ592,Data_Validation!$A:$D,1,0)</f>
        <v>#N/A</v>
      </c>
      <c r="AP592" s="487" t="e">
        <f>+VLOOKUP($AJ592,Data_Validation!$A:$D,3,0)</f>
        <v>#N/A</v>
      </c>
      <c r="AQ592" s="487" t="e">
        <f>+VLOOKUP($AJ592,Data_Validation!$A:$D,4,0)</f>
        <v>#N/A</v>
      </c>
      <c r="AR592" s="487" t="s">
        <v>299</v>
      </c>
      <c r="AS592" s="487" t="e">
        <f>+VLOOKUP($AJ592,Data_Validation!$A:$E,5,0)</f>
        <v>#N/A</v>
      </c>
      <c r="AT592" s="904">
        <f t="shared" si="38"/>
        <v>0</v>
      </c>
      <c r="AU592" s="488">
        <f t="shared" si="38"/>
        <v>0</v>
      </c>
      <c r="AV592" s="899">
        <f>IFERROR(INDEX(V592:AG592,1,MATCH(Parametres!$B$3,V$1:AG$1,0)-1)*IF(OR(C592="L",C592="S",C592="I"),-1,1),"")</f>
        <v>0</v>
      </c>
      <c r="AW592" s="899">
        <f t="shared" si="39"/>
        <v>0</v>
      </c>
      <c r="AX592" s="899">
        <f>INDEX(V592:AG592,1,MATCH(Parametres!$B$3,V$1:AG$1,0))*IF(OR(C592="L",C592="S",C592="I"),-1,1)</f>
        <v>0</v>
      </c>
      <c r="AY592" s="487" t="s">
        <v>337</v>
      </c>
      <c r="AZ592" s="487" t="e">
        <f>+VLOOKUP($AJ592,Data_Validation!$A:$E,5,0)</f>
        <v>#N/A</v>
      </c>
    </row>
    <row r="593" spans="36:52" ht="15" customHeight="1">
      <c r="AJ593" s="899">
        <f t="shared" si="36"/>
        <v>0</v>
      </c>
      <c r="AK593" s="899">
        <f t="shared" si="36"/>
        <v>0</v>
      </c>
      <c r="AL593" s="905">
        <f>IFERROR(INDEX(G593:R593,1,MATCH(Parametres!$B$3,G$1:R$1,0)-1)*IF(OR(F593="L",F593="S",F593="I"),-1,1),"")</f>
        <v>0</v>
      </c>
      <c r="AM593" s="905">
        <f t="shared" si="37"/>
        <v>0</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f t="shared" si="38"/>
        <v>0</v>
      </c>
      <c r="AU593" s="488">
        <f t="shared" si="38"/>
        <v>0</v>
      </c>
      <c r="AV593" s="899">
        <f>IFERROR(INDEX(V593:AG593,1,MATCH(Parametres!$B$3,V$1:AG$1,0)-1)*IF(OR(C593="L",C593="S",C593="I"),-1,1),"")</f>
        <v>0</v>
      </c>
      <c r="AW593" s="899">
        <f t="shared" si="39"/>
        <v>0</v>
      </c>
      <c r="AX593" s="899">
        <f>INDEX(V593:AG593,1,MATCH(Parametres!$B$3,V$1:AG$1,0))*IF(OR(C593="L",C593="S",C593="I"),-1,1)</f>
        <v>0</v>
      </c>
      <c r="AY593" s="487" t="s">
        <v>337</v>
      </c>
      <c r="AZ593" s="487" t="e">
        <f>+VLOOKUP($AJ593,Data_Validation!$A:$E,5,0)</f>
        <v>#N/A</v>
      </c>
    </row>
    <row r="594" spans="36:52" ht="15" customHeight="1">
      <c r="AJ594" s="899">
        <f t="shared" si="36"/>
        <v>0</v>
      </c>
      <c r="AK594" s="899">
        <f t="shared" si="36"/>
        <v>0</v>
      </c>
      <c r="AL594" s="905">
        <f>IFERROR(INDEX(G594:R594,1,MATCH(Parametres!$B$3,G$1:R$1,0)-1)*IF(OR(F594="L",F594="S",F594="I"),-1,1),"")</f>
        <v>0</v>
      </c>
      <c r="AM594" s="905">
        <f t="shared" si="37"/>
        <v>0</v>
      </c>
      <c r="AN594" s="905">
        <f>INDEX(G594:R594,1,MATCH(Parametres!$B$3,G$1:R$1,0))*IF(OR(F594="L",F594="S",F594="I"),-1,1)</f>
        <v>0</v>
      </c>
      <c r="AO594" s="487" t="e">
        <f>+VLOOKUP($AJ594,Data_Validation!$A:$D,1,0)</f>
        <v>#N/A</v>
      </c>
      <c r="AP594" s="487" t="e">
        <f>+VLOOKUP($AJ594,Data_Validation!$A:$D,3,0)</f>
        <v>#N/A</v>
      </c>
      <c r="AQ594" s="487" t="e">
        <f>+VLOOKUP($AJ594,Data_Validation!$A:$D,4,0)</f>
        <v>#N/A</v>
      </c>
      <c r="AR594" s="487" t="s">
        <v>299</v>
      </c>
      <c r="AS594" s="487" t="e">
        <f>+VLOOKUP($AJ594,Data_Validation!$A:$E,5,0)</f>
        <v>#N/A</v>
      </c>
      <c r="AT594" s="904">
        <f t="shared" si="38"/>
        <v>0</v>
      </c>
      <c r="AU594" s="488">
        <f t="shared" si="38"/>
        <v>0</v>
      </c>
      <c r="AV594" s="899">
        <f>IFERROR(INDEX(V594:AG594,1,MATCH(Parametres!$B$3,V$1:AG$1,0)-1)*IF(OR(C594="L",C594="S",C594="I"),-1,1),"")</f>
        <v>0</v>
      </c>
      <c r="AW594" s="899">
        <f t="shared" si="39"/>
        <v>0</v>
      </c>
      <c r="AX594" s="899">
        <f>INDEX(V594:AG594,1,MATCH(Parametres!$B$3,V$1:AG$1,0))*IF(OR(C594="L",C594="S",C594="I"),-1,1)</f>
        <v>0</v>
      </c>
      <c r="AY594" s="487" t="s">
        <v>337</v>
      </c>
      <c r="AZ594" s="487" t="e">
        <f>+VLOOKUP($AJ594,Data_Validation!$A:$E,5,0)</f>
        <v>#N/A</v>
      </c>
    </row>
    <row r="595" spans="36:52" ht="15" customHeight="1">
      <c r="AJ595" s="899">
        <f t="shared" si="36"/>
        <v>0</v>
      </c>
      <c r="AK595" s="899">
        <f t="shared" si="36"/>
        <v>0</v>
      </c>
      <c r="AL595" s="905">
        <f>IFERROR(INDEX(G595:R595,1,MATCH(Parametres!$B$3,G$1:R$1,0)-1)*IF(OR(F595="L",F595="S",F595="I"),-1,1),"")</f>
        <v>0</v>
      </c>
      <c r="AM595" s="905">
        <f t="shared" si="37"/>
        <v>0</v>
      </c>
      <c r="AN595" s="905">
        <f>INDEX(G595:R595,1,MATCH(Parametres!$B$3,G$1:R$1,0))*IF(OR(F595="L",F595="S",F595="I"),-1,1)</f>
        <v>0</v>
      </c>
      <c r="AO595" s="487" t="e">
        <f>+VLOOKUP($AJ595,Data_Validation!$A:$D,1,0)</f>
        <v>#N/A</v>
      </c>
      <c r="AP595" s="487" t="e">
        <f>+VLOOKUP($AJ595,Data_Validation!$A:$D,3,0)</f>
        <v>#N/A</v>
      </c>
      <c r="AQ595" s="487" t="e">
        <f>+VLOOKUP($AJ595,Data_Validation!$A:$D,4,0)</f>
        <v>#N/A</v>
      </c>
      <c r="AR595" s="487" t="s">
        <v>299</v>
      </c>
      <c r="AS595" s="487" t="e">
        <f>+VLOOKUP($AJ595,Data_Validation!$A:$E,5,0)</f>
        <v>#N/A</v>
      </c>
      <c r="AT595" s="904">
        <f t="shared" si="38"/>
        <v>0</v>
      </c>
      <c r="AU595" s="488">
        <f t="shared" si="38"/>
        <v>0</v>
      </c>
      <c r="AV595" s="899">
        <f>IFERROR(INDEX(V595:AG595,1,MATCH(Parametres!$B$3,V$1:AG$1,0)-1)*IF(OR(C595="L",C595="S",C595="I"),-1,1),"")</f>
        <v>0</v>
      </c>
      <c r="AW595" s="899">
        <f t="shared" si="39"/>
        <v>0</v>
      </c>
      <c r="AX595" s="899">
        <f>INDEX(V595:AG595,1,MATCH(Parametres!$B$3,V$1:AG$1,0))*IF(OR(C595="L",C595="S",C595="I"),-1,1)</f>
        <v>0</v>
      </c>
      <c r="AY595" s="487" t="s">
        <v>337</v>
      </c>
      <c r="AZ595" s="487" t="e">
        <f>+VLOOKUP($AJ595,Data_Validation!$A:$E,5,0)</f>
        <v>#N/A</v>
      </c>
    </row>
    <row r="596" spans="36:52" ht="15" customHeight="1">
      <c r="AJ596" s="899">
        <f t="shared" ref="AJ596:AK659" si="40">C596</f>
        <v>0</v>
      </c>
      <c r="AK596" s="899">
        <f t="shared" si="40"/>
        <v>0</v>
      </c>
      <c r="AL596" s="905">
        <f>IFERROR(INDEX(G596:R596,1,MATCH(Parametres!$B$3,G$1:R$1,0)-1)*IF(OR(F596="L",F596="S",F596="I"),-1,1),"")</f>
        <v>0</v>
      </c>
      <c r="AM596" s="905">
        <f t="shared" si="37"/>
        <v>0</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f t="shared" si="38"/>
        <v>0</v>
      </c>
      <c r="AU596" s="488">
        <f t="shared" si="38"/>
        <v>0</v>
      </c>
      <c r="AV596" s="899">
        <f>IFERROR(INDEX(V596:AG596,1,MATCH(Parametres!$B$3,V$1:AG$1,0)-1)*IF(OR(C596="L",C596="S",C596="I"),-1,1),"")</f>
        <v>0</v>
      </c>
      <c r="AW596" s="899">
        <f t="shared" si="39"/>
        <v>0</v>
      </c>
      <c r="AX596" s="899">
        <f>INDEX(V596:AG596,1,MATCH(Parametres!$B$3,V$1:AG$1,0))*IF(OR(C596="L",C596="S",C596="I"),-1,1)</f>
        <v>0</v>
      </c>
      <c r="AY596" s="487" t="s">
        <v>337</v>
      </c>
      <c r="AZ596" s="487" t="e">
        <f>+VLOOKUP($AJ596,Data_Validation!$A:$E,5,0)</f>
        <v>#N/A</v>
      </c>
    </row>
    <row r="597" spans="36:52" ht="15" customHeight="1">
      <c r="AJ597" s="899">
        <f t="shared" si="40"/>
        <v>0</v>
      </c>
      <c r="AK597" s="899">
        <f t="shared" si="40"/>
        <v>0</v>
      </c>
      <c r="AL597" s="905">
        <f>IFERROR(INDEX(G597:R597,1,MATCH(Parametres!$B$3,G$1:R$1,0)-1)*IF(OR(F597="L",F597="S",F597="I"),-1,1),"")</f>
        <v>0</v>
      </c>
      <c r="AM597" s="905">
        <f t="shared" si="37"/>
        <v>0</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f t="shared" si="38"/>
        <v>0</v>
      </c>
      <c r="AU597" s="488">
        <f t="shared" si="38"/>
        <v>0</v>
      </c>
      <c r="AV597" s="899">
        <f>IFERROR(INDEX(V597:AG597,1,MATCH(Parametres!$B$3,V$1:AG$1,0)-1)*IF(OR(C597="L",C597="S",C597="I"),-1,1),"")</f>
        <v>0</v>
      </c>
      <c r="AW597" s="899">
        <f t="shared" si="39"/>
        <v>0</v>
      </c>
      <c r="AX597" s="899">
        <f>INDEX(V597:AG597,1,MATCH(Parametres!$B$3,V$1:AG$1,0))*IF(OR(C597="L",C597="S",C597="I"),-1,1)</f>
        <v>0</v>
      </c>
      <c r="AY597" s="487" t="s">
        <v>337</v>
      </c>
      <c r="AZ597" s="487" t="e">
        <f>+VLOOKUP($AJ597,Data_Validation!$A:$E,5,0)</f>
        <v>#N/A</v>
      </c>
    </row>
    <row r="598" spans="36:52" ht="15" customHeight="1">
      <c r="AJ598" s="899">
        <f t="shared" si="40"/>
        <v>0</v>
      </c>
      <c r="AK598" s="899">
        <f t="shared" si="40"/>
        <v>0</v>
      </c>
      <c r="AL598" s="905">
        <f>IFERROR(INDEX(G598:R598,1,MATCH(Parametres!$B$3,G$1:R$1,0)-1)*IF(OR(F598="L",F598="S",F598="I"),-1,1),"")</f>
        <v>0</v>
      </c>
      <c r="AM598" s="905">
        <f t="shared" si="37"/>
        <v>0</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f t="shared" si="38"/>
        <v>0</v>
      </c>
      <c r="AU598" s="488">
        <f t="shared" si="38"/>
        <v>0</v>
      </c>
      <c r="AV598" s="899">
        <f>IFERROR(INDEX(V598:AG598,1,MATCH(Parametres!$B$3,V$1:AG$1,0)-1)*IF(OR(C598="L",C598="S",C598="I"),-1,1),"")</f>
        <v>0</v>
      </c>
      <c r="AW598" s="899">
        <f t="shared" si="39"/>
        <v>0</v>
      </c>
      <c r="AX598" s="899">
        <f>INDEX(V598:AG598,1,MATCH(Parametres!$B$3,V$1:AG$1,0))*IF(OR(C598="L",C598="S",C598="I"),-1,1)</f>
        <v>0</v>
      </c>
      <c r="AY598" s="487" t="s">
        <v>337</v>
      </c>
      <c r="AZ598" s="487" t="e">
        <f>+VLOOKUP($AJ598,Data_Validation!$A:$E,5,0)</f>
        <v>#N/A</v>
      </c>
    </row>
    <row r="599" spans="36:52" ht="15" customHeight="1">
      <c r="AJ599" s="899">
        <f t="shared" si="40"/>
        <v>0</v>
      </c>
      <c r="AK599" s="899">
        <f t="shared" si="40"/>
        <v>0</v>
      </c>
      <c r="AL599" s="905">
        <f>IFERROR(INDEX(G599:R599,1,MATCH(Parametres!$B$3,G$1:R$1,0)-1)*IF(OR(F599="L",F599="S",F599="I"),-1,1),"")</f>
        <v>0</v>
      </c>
      <c r="AM599" s="905">
        <f t="shared" si="37"/>
        <v>0</v>
      </c>
      <c r="AN599" s="905">
        <f>INDEX(G599:R599,1,MATCH(Parametres!$B$3,G$1:R$1,0))*IF(OR(F599="L",F599="S",F599="I"),-1,1)</f>
        <v>0</v>
      </c>
      <c r="AO599" s="487" t="e">
        <f>+VLOOKUP($AJ599,Data_Validation!$A:$D,1,0)</f>
        <v>#N/A</v>
      </c>
      <c r="AP599" s="487" t="e">
        <f>+VLOOKUP($AJ599,Data_Validation!$A:$D,3,0)</f>
        <v>#N/A</v>
      </c>
      <c r="AQ599" s="487" t="e">
        <f>+VLOOKUP($AJ599,Data_Validation!$A:$D,4,0)</f>
        <v>#N/A</v>
      </c>
      <c r="AR599" s="487" t="s">
        <v>299</v>
      </c>
      <c r="AS599" s="487" t="e">
        <f>+VLOOKUP($AJ599,Data_Validation!$A:$E,5,0)</f>
        <v>#N/A</v>
      </c>
      <c r="AT599" s="904">
        <f t="shared" si="38"/>
        <v>0</v>
      </c>
      <c r="AU599" s="488">
        <f t="shared" si="38"/>
        <v>0</v>
      </c>
      <c r="AV599" s="899">
        <f>IFERROR(INDEX(V599:AG599,1,MATCH(Parametres!$B$3,V$1:AG$1,0)-1)*IF(OR(C599="L",C599="S",C599="I"),-1,1),"")</f>
        <v>0</v>
      </c>
      <c r="AW599" s="899">
        <f t="shared" si="39"/>
        <v>0</v>
      </c>
      <c r="AX599" s="899">
        <f>INDEX(V599:AG599,1,MATCH(Parametres!$B$3,V$1:AG$1,0))*IF(OR(C599="L",C599="S",C599="I"),-1,1)</f>
        <v>0</v>
      </c>
      <c r="AY599" s="487" t="s">
        <v>337</v>
      </c>
      <c r="AZ599" s="487" t="e">
        <f>+VLOOKUP($AJ599,Data_Validation!$A:$E,5,0)</f>
        <v>#N/A</v>
      </c>
    </row>
    <row r="600" spans="36:52" ht="15" customHeight="1">
      <c r="AJ600" s="899">
        <f t="shared" si="40"/>
        <v>0</v>
      </c>
      <c r="AK600" s="899">
        <f t="shared" si="40"/>
        <v>0</v>
      </c>
      <c r="AL600" s="905">
        <f>IFERROR(INDEX(G600:R600,1,MATCH(Parametres!$B$3,G$1:R$1,0)-1)*IF(OR(F600="L",F600="S",F600="I"),-1,1),"")</f>
        <v>0</v>
      </c>
      <c r="AM600" s="905">
        <f t="shared" si="37"/>
        <v>0</v>
      </c>
      <c r="AN600" s="905">
        <f>INDEX(G600:R600,1,MATCH(Parametres!$B$3,G$1:R$1,0))*IF(OR(F600="L",F600="S",F600="I"),-1,1)</f>
        <v>0</v>
      </c>
      <c r="AO600" s="487" t="e">
        <f>+VLOOKUP($AJ600,Data_Validation!$A:$D,1,0)</f>
        <v>#N/A</v>
      </c>
      <c r="AP600" s="487" t="e">
        <f>+VLOOKUP($AJ600,Data_Validation!$A:$D,3,0)</f>
        <v>#N/A</v>
      </c>
      <c r="AQ600" s="487" t="e">
        <f>+VLOOKUP($AJ600,Data_Validation!$A:$D,4,0)</f>
        <v>#N/A</v>
      </c>
      <c r="AR600" s="487" t="s">
        <v>299</v>
      </c>
      <c r="AS600" s="487" t="e">
        <f>+VLOOKUP($AJ600,Data_Validation!$A:$E,5,0)</f>
        <v>#N/A</v>
      </c>
      <c r="AT600" s="904">
        <f t="shared" si="38"/>
        <v>0</v>
      </c>
      <c r="AU600" s="488">
        <f t="shared" si="38"/>
        <v>0</v>
      </c>
      <c r="AV600" s="899">
        <f>IFERROR(INDEX(V600:AG600,1,MATCH(Parametres!$B$3,V$1:AG$1,0)-1)*IF(OR(C600="L",C600="S",C600="I"),-1,1),"")</f>
        <v>0</v>
      </c>
      <c r="AW600" s="899">
        <f t="shared" si="39"/>
        <v>0</v>
      </c>
      <c r="AX600" s="899">
        <f>INDEX(V600:AG600,1,MATCH(Parametres!$B$3,V$1:AG$1,0))*IF(OR(C600="L",C600="S",C600="I"),-1,1)</f>
        <v>0</v>
      </c>
      <c r="AY600" s="487" t="s">
        <v>337</v>
      </c>
      <c r="AZ600" s="487" t="e">
        <f>+VLOOKUP($AJ600,Data_Validation!$A:$E,5,0)</f>
        <v>#N/A</v>
      </c>
    </row>
    <row r="601" spans="36:52" ht="15" customHeight="1">
      <c r="AJ601" s="899">
        <f t="shared" si="40"/>
        <v>0</v>
      </c>
      <c r="AK601" s="899">
        <f t="shared" si="40"/>
        <v>0</v>
      </c>
      <c r="AL601" s="905">
        <f>IFERROR(INDEX(G601:R601,1,MATCH(Parametres!$B$3,G$1:R$1,0)-1)*IF(OR(F601="L",F601="S",F601="I"),-1,1),"")</f>
        <v>0</v>
      </c>
      <c r="AM601" s="905">
        <f t="shared" si="37"/>
        <v>0</v>
      </c>
      <c r="AN601" s="905">
        <f>INDEX(G601:R601,1,MATCH(Parametres!$B$3,G$1:R$1,0))*IF(OR(F601="L",F601="S",F601="I"),-1,1)</f>
        <v>0</v>
      </c>
      <c r="AO601" s="487" t="e">
        <f>+VLOOKUP($AJ601,Data_Validation!$A:$D,1,0)</f>
        <v>#N/A</v>
      </c>
      <c r="AP601" s="487" t="e">
        <f>+VLOOKUP($AJ601,Data_Validation!$A:$D,3,0)</f>
        <v>#N/A</v>
      </c>
      <c r="AQ601" s="487" t="e">
        <f>+VLOOKUP($AJ601,Data_Validation!$A:$D,4,0)</f>
        <v>#N/A</v>
      </c>
      <c r="AR601" s="487" t="s">
        <v>299</v>
      </c>
      <c r="AS601" s="487" t="e">
        <f>+VLOOKUP($AJ601,Data_Validation!$A:$E,5,0)</f>
        <v>#N/A</v>
      </c>
      <c r="AT601" s="904">
        <f t="shared" si="38"/>
        <v>0</v>
      </c>
      <c r="AU601" s="488">
        <f t="shared" si="38"/>
        <v>0</v>
      </c>
      <c r="AV601" s="899">
        <f>IFERROR(INDEX(V601:AG601,1,MATCH(Parametres!$B$3,V$1:AG$1,0)-1)*IF(OR(C601="L",C601="S",C601="I"),-1,1),"")</f>
        <v>0</v>
      </c>
      <c r="AW601" s="899">
        <f t="shared" si="39"/>
        <v>0</v>
      </c>
      <c r="AX601" s="899">
        <f>INDEX(V601:AG601,1,MATCH(Parametres!$B$3,V$1:AG$1,0))*IF(OR(C601="L",C601="S",C601="I"),-1,1)</f>
        <v>0</v>
      </c>
      <c r="AY601" s="487" t="s">
        <v>337</v>
      </c>
      <c r="AZ601" s="487" t="e">
        <f>+VLOOKUP($AJ601,Data_Validation!$A:$E,5,0)</f>
        <v>#N/A</v>
      </c>
    </row>
    <row r="602" spans="36:52" ht="15" customHeight="1">
      <c r="AJ602" s="899">
        <f t="shared" si="40"/>
        <v>0</v>
      </c>
      <c r="AK602" s="899">
        <f t="shared" si="40"/>
        <v>0</v>
      </c>
      <c r="AL602" s="905">
        <f>IFERROR(INDEX(G602:R602,1,MATCH(Parametres!$B$3,G$1:R$1,0)-1)*IF(OR(F602="L",F602="S",F602="I"),-1,1),"")</f>
        <v>0</v>
      </c>
      <c r="AM602" s="905">
        <f t="shared" si="37"/>
        <v>0</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f t="shared" si="38"/>
        <v>0</v>
      </c>
      <c r="AU602" s="488">
        <f t="shared" si="38"/>
        <v>0</v>
      </c>
      <c r="AV602" s="899">
        <f>IFERROR(INDEX(V602:AG602,1,MATCH(Parametres!$B$3,V$1:AG$1,0)-1)*IF(OR(C602="L",C602="S",C602="I"),-1,1),"")</f>
        <v>0</v>
      </c>
      <c r="AW602" s="899">
        <f t="shared" si="39"/>
        <v>0</v>
      </c>
      <c r="AX602" s="899">
        <f>INDEX(V602:AG602,1,MATCH(Parametres!$B$3,V$1:AG$1,0))*IF(OR(C602="L",C602="S",C602="I"),-1,1)</f>
        <v>0</v>
      </c>
      <c r="AY602" s="487" t="s">
        <v>337</v>
      </c>
      <c r="AZ602" s="487" t="e">
        <f>+VLOOKUP($AJ602,Data_Validation!$A:$E,5,0)</f>
        <v>#N/A</v>
      </c>
    </row>
    <row r="603" spans="36:52" ht="15" customHeight="1">
      <c r="AJ603" s="899">
        <f t="shared" si="40"/>
        <v>0</v>
      </c>
      <c r="AK603" s="899">
        <f t="shared" si="40"/>
        <v>0</v>
      </c>
      <c r="AL603" s="905">
        <f>IFERROR(INDEX(G603:R603,1,MATCH(Parametres!$B$3,G$1:R$1,0)-1)*IF(OR(F603="L",F603="S",F603="I"),-1,1),"")</f>
        <v>0</v>
      </c>
      <c r="AM603" s="905">
        <f t="shared" si="37"/>
        <v>0</v>
      </c>
      <c r="AN603" s="905">
        <f>INDEX(G603:R603,1,MATCH(Parametres!$B$3,G$1:R$1,0))*IF(OR(F603="L",F603="S",F603="I"),-1,1)</f>
        <v>0</v>
      </c>
      <c r="AO603" s="487" t="e">
        <f>+VLOOKUP($AJ603,Data_Validation!$A:$D,1,0)</f>
        <v>#N/A</v>
      </c>
      <c r="AP603" s="487" t="e">
        <f>+VLOOKUP($AJ603,Data_Validation!$A:$D,3,0)</f>
        <v>#N/A</v>
      </c>
      <c r="AQ603" s="487" t="e">
        <f>+VLOOKUP($AJ603,Data_Validation!$A:$D,4,0)</f>
        <v>#N/A</v>
      </c>
      <c r="AR603" s="487" t="s">
        <v>299</v>
      </c>
      <c r="AS603" s="487" t="e">
        <f>+VLOOKUP($AJ603,Data_Validation!$A:$E,5,0)</f>
        <v>#N/A</v>
      </c>
      <c r="AT603" s="904">
        <f t="shared" si="38"/>
        <v>0</v>
      </c>
      <c r="AU603" s="488">
        <f t="shared" si="38"/>
        <v>0</v>
      </c>
      <c r="AV603" s="899">
        <f>IFERROR(INDEX(V603:AG603,1,MATCH(Parametres!$B$3,V$1:AG$1,0)-1)*IF(OR(C603="L",C603="S",C603="I"),-1,1),"")</f>
        <v>0</v>
      </c>
      <c r="AW603" s="899">
        <f t="shared" si="39"/>
        <v>0</v>
      </c>
      <c r="AX603" s="899">
        <f>INDEX(V603:AG603,1,MATCH(Parametres!$B$3,V$1:AG$1,0))*IF(OR(C603="L",C603="S",C603="I"),-1,1)</f>
        <v>0</v>
      </c>
      <c r="AY603" s="487" t="s">
        <v>337</v>
      </c>
      <c r="AZ603" s="487" t="e">
        <f>+VLOOKUP($AJ603,Data_Validation!$A:$E,5,0)</f>
        <v>#N/A</v>
      </c>
    </row>
    <row r="604" spans="36:52" ht="15" customHeight="1">
      <c r="AJ604" s="899">
        <f t="shared" si="40"/>
        <v>0</v>
      </c>
      <c r="AK604" s="899">
        <f t="shared" si="40"/>
        <v>0</v>
      </c>
      <c r="AL604" s="905">
        <f>IFERROR(INDEX(G604:R604,1,MATCH(Parametres!$B$3,G$1:R$1,0)-1)*IF(OR(F604="L",F604="S",F604="I"),-1,1),"")</f>
        <v>0</v>
      </c>
      <c r="AM604" s="905">
        <f t="shared" si="37"/>
        <v>0</v>
      </c>
      <c r="AN604" s="905">
        <f>INDEX(G604:R604,1,MATCH(Parametres!$B$3,G$1:R$1,0))*IF(OR(F604="L",F604="S",F604="I"),-1,1)</f>
        <v>0</v>
      </c>
      <c r="AO604" s="487" t="e">
        <f>+VLOOKUP($AJ604,Data_Validation!$A:$D,1,0)</f>
        <v>#N/A</v>
      </c>
      <c r="AP604" s="487" t="e">
        <f>+VLOOKUP($AJ604,Data_Validation!$A:$D,3,0)</f>
        <v>#N/A</v>
      </c>
      <c r="AQ604" s="487" t="e">
        <f>+VLOOKUP($AJ604,Data_Validation!$A:$D,4,0)</f>
        <v>#N/A</v>
      </c>
      <c r="AR604" s="487" t="s">
        <v>299</v>
      </c>
      <c r="AS604" s="487" t="e">
        <f>+VLOOKUP($AJ604,Data_Validation!$A:$E,5,0)</f>
        <v>#N/A</v>
      </c>
      <c r="AT604" s="904">
        <f t="shared" si="38"/>
        <v>0</v>
      </c>
      <c r="AU604" s="488">
        <f t="shared" si="38"/>
        <v>0</v>
      </c>
      <c r="AV604" s="899">
        <f>IFERROR(INDEX(V604:AG604,1,MATCH(Parametres!$B$3,V$1:AG$1,0)-1)*IF(OR(C604="L",C604="S",C604="I"),-1,1),"")</f>
        <v>0</v>
      </c>
      <c r="AW604" s="899">
        <f t="shared" si="39"/>
        <v>0</v>
      </c>
      <c r="AX604" s="899">
        <f>INDEX(V604:AG604,1,MATCH(Parametres!$B$3,V$1:AG$1,0))*IF(OR(C604="L",C604="S",C604="I"),-1,1)</f>
        <v>0</v>
      </c>
      <c r="AY604" s="487" t="s">
        <v>337</v>
      </c>
      <c r="AZ604" s="487" t="e">
        <f>+VLOOKUP($AJ604,Data_Validation!$A:$E,5,0)</f>
        <v>#N/A</v>
      </c>
    </row>
    <row r="605" spans="36:52" ht="15" customHeight="1">
      <c r="AJ605" s="899">
        <f t="shared" si="40"/>
        <v>0</v>
      </c>
      <c r="AK605" s="899">
        <f t="shared" si="40"/>
        <v>0</v>
      </c>
      <c r="AL605" s="905">
        <f>IFERROR(INDEX(G605:R605,1,MATCH(Parametres!$B$3,G$1:R$1,0)-1)*IF(OR(F605="L",F605="S",F605="I"),-1,1),"")</f>
        <v>0</v>
      </c>
      <c r="AM605" s="905">
        <f t="shared" si="37"/>
        <v>0</v>
      </c>
      <c r="AN605" s="905">
        <f>INDEX(G605:R605,1,MATCH(Parametres!$B$3,G$1:R$1,0))*IF(OR(F605="L",F605="S",F605="I"),-1,1)</f>
        <v>0</v>
      </c>
      <c r="AO605" s="487" t="e">
        <f>+VLOOKUP($AJ605,Data_Validation!$A:$D,1,0)</f>
        <v>#N/A</v>
      </c>
      <c r="AP605" s="487" t="e">
        <f>+VLOOKUP($AJ605,Data_Validation!$A:$D,3,0)</f>
        <v>#N/A</v>
      </c>
      <c r="AQ605" s="487" t="e">
        <f>+VLOOKUP($AJ605,Data_Validation!$A:$D,4,0)</f>
        <v>#N/A</v>
      </c>
      <c r="AR605" s="487" t="s">
        <v>299</v>
      </c>
      <c r="AS605" s="487" t="e">
        <f>+VLOOKUP($AJ605,Data_Validation!$A:$E,5,0)</f>
        <v>#N/A</v>
      </c>
      <c r="AT605" s="904">
        <f t="shared" si="38"/>
        <v>0</v>
      </c>
      <c r="AU605" s="488">
        <f t="shared" si="38"/>
        <v>0</v>
      </c>
      <c r="AV605" s="899">
        <f>IFERROR(INDEX(V605:AG605,1,MATCH(Parametres!$B$3,V$1:AG$1,0)-1)*IF(OR(C605="L",C605="S",C605="I"),-1,1),"")</f>
        <v>0</v>
      </c>
      <c r="AW605" s="899">
        <f t="shared" si="39"/>
        <v>0</v>
      </c>
      <c r="AX605" s="899">
        <f>INDEX(V605:AG605,1,MATCH(Parametres!$B$3,V$1:AG$1,0))*IF(OR(C605="L",C605="S",C605="I"),-1,1)</f>
        <v>0</v>
      </c>
      <c r="AY605" s="487" t="s">
        <v>337</v>
      </c>
      <c r="AZ605" s="487" t="e">
        <f>+VLOOKUP($AJ605,Data_Validation!$A:$E,5,0)</f>
        <v>#N/A</v>
      </c>
    </row>
    <row r="606" spans="36:52" ht="15" customHeight="1">
      <c r="AJ606" s="899">
        <f t="shared" si="40"/>
        <v>0</v>
      </c>
      <c r="AK606" s="899">
        <f t="shared" si="40"/>
        <v>0</v>
      </c>
      <c r="AL606" s="905">
        <f>IFERROR(INDEX(G606:R606,1,MATCH(Parametres!$B$3,G$1:R$1,0)-1)*IF(OR(F606="L",F606="S",F606="I"),-1,1),"")</f>
        <v>0</v>
      </c>
      <c r="AM606" s="905">
        <f t="shared" si="37"/>
        <v>0</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f t="shared" si="38"/>
        <v>0</v>
      </c>
      <c r="AU606" s="488">
        <f t="shared" si="38"/>
        <v>0</v>
      </c>
      <c r="AV606" s="899">
        <f>IFERROR(INDEX(V606:AG606,1,MATCH(Parametres!$B$3,V$1:AG$1,0)-1)*IF(OR(C606="L",C606="S",C606="I"),-1,1),"")</f>
        <v>0</v>
      </c>
      <c r="AW606" s="899">
        <f t="shared" si="39"/>
        <v>0</v>
      </c>
      <c r="AX606" s="899">
        <f>INDEX(V606:AG606,1,MATCH(Parametres!$B$3,V$1:AG$1,0))*IF(OR(C606="L",C606="S",C606="I"),-1,1)</f>
        <v>0</v>
      </c>
      <c r="AY606" s="487" t="s">
        <v>337</v>
      </c>
      <c r="AZ606" s="487" t="e">
        <f>+VLOOKUP($AJ606,Data_Validation!$A:$E,5,0)</f>
        <v>#N/A</v>
      </c>
    </row>
    <row r="607" spans="36:52" ht="15" customHeight="1">
      <c r="AJ607" s="899">
        <f t="shared" si="40"/>
        <v>0</v>
      </c>
      <c r="AK607" s="899">
        <f t="shared" si="40"/>
        <v>0</v>
      </c>
      <c r="AL607" s="905">
        <f>IFERROR(INDEX(G607:R607,1,MATCH(Parametres!$B$3,G$1:R$1,0)-1)*IF(OR(F607="L",F607="S",F607="I"),-1,1),"")</f>
        <v>0</v>
      </c>
      <c r="AM607" s="905">
        <f t="shared" si="37"/>
        <v>0</v>
      </c>
      <c r="AN607" s="905">
        <f>INDEX(G607:R607,1,MATCH(Parametres!$B$3,G$1:R$1,0))*IF(OR(F607="L",F607="S",F607="I"),-1,1)</f>
        <v>0</v>
      </c>
      <c r="AO607" s="487" t="e">
        <f>+VLOOKUP($AJ607,Data_Validation!$A:$D,1,0)</f>
        <v>#N/A</v>
      </c>
      <c r="AP607" s="487" t="e">
        <f>+VLOOKUP($AJ607,Data_Validation!$A:$D,3,0)</f>
        <v>#N/A</v>
      </c>
      <c r="AQ607" s="487" t="e">
        <f>+VLOOKUP($AJ607,Data_Validation!$A:$D,4,0)</f>
        <v>#N/A</v>
      </c>
      <c r="AR607" s="487" t="s">
        <v>299</v>
      </c>
      <c r="AS607" s="487" t="e">
        <f>+VLOOKUP($AJ607,Data_Validation!$A:$E,5,0)</f>
        <v>#N/A</v>
      </c>
      <c r="AT607" s="904">
        <f t="shared" si="38"/>
        <v>0</v>
      </c>
      <c r="AU607" s="488">
        <f t="shared" si="38"/>
        <v>0</v>
      </c>
      <c r="AV607" s="899">
        <f>IFERROR(INDEX(V607:AG607,1,MATCH(Parametres!$B$3,V$1:AG$1,0)-1)*IF(OR(C607="L",C607="S",C607="I"),-1,1),"")</f>
        <v>0</v>
      </c>
      <c r="AW607" s="899">
        <f t="shared" si="39"/>
        <v>0</v>
      </c>
      <c r="AX607" s="899">
        <f>INDEX(V607:AG607,1,MATCH(Parametres!$B$3,V$1:AG$1,0))*IF(OR(C607="L",C607="S",C607="I"),-1,1)</f>
        <v>0</v>
      </c>
      <c r="AY607" s="487" t="s">
        <v>337</v>
      </c>
      <c r="AZ607" s="487" t="e">
        <f>+VLOOKUP($AJ607,Data_Validation!$A:$E,5,0)</f>
        <v>#N/A</v>
      </c>
    </row>
    <row r="608" spans="36:52" ht="15" customHeight="1">
      <c r="AJ608" s="899">
        <f t="shared" si="40"/>
        <v>0</v>
      </c>
      <c r="AK608" s="899">
        <f t="shared" si="40"/>
        <v>0</v>
      </c>
      <c r="AL608" s="905">
        <f>IFERROR(INDEX(G608:R608,1,MATCH(Parametres!$B$3,G$1:R$1,0)-1)*IF(OR(F608="L",F608="S",F608="I"),-1,1),"")</f>
        <v>0</v>
      </c>
      <c r="AM608" s="905">
        <f t="shared" si="37"/>
        <v>0</v>
      </c>
      <c r="AN608" s="905">
        <f>INDEX(G608:R608,1,MATCH(Parametres!$B$3,G$1:R$1,0))*IF(OR(F608="L",F608="S",F608="I"),-1,1)</f>
        <v>0</v>
      </c>
      <c r="AO608" s="487" t="e">
        <f>+VLOOKUP($AJ608,Data_Validation!$A:$D,1,0)</f>
        <v>#N/A</v>
      </c>
      <c r="AP608" s="487" t="e">
        <f>+VLOOKUP($AJ608,Data_Validation!$A:$D,3,0)</f>
        <v>#N/A</v>
      </c>
      <c r="AQ608" s="487" t="e">
        <f>+VLOOKUP($AJ608,Data_Validation!$A:$D,4,0)</f>
        <v>#N/A</v>
      </c>
      <c r="AR608" s="487" t="s">
        <v>299</v>
      </c>
      <c r="AS608" s="487" t="e">
        <f>+VLOOKUP($AJ608,Data_Validation!$A:$E,5,0)</f>
        <v>#N/A</v>
      </c>
      <c r="AT608" s="904">
        <f t="shared" si="38"/>
        <v>0</v>
      </c>
      <c r="AU608" s="488">
        <f t="shared" si="38"/>
        <v>0</v>
      </c>
      <c r="AV608" s="899">
        <f>IFERROR(INDEX(V608:AG608,1,MATCH(Parametres!$B$3,V$1:AG$1,0)-1)*IF(OR(C608="L",C608="S",C608="I"),-1,1),"")</f>
        <v>0</v>
      </c>
      <c r="AW608" s="899">
        <f t="shared" si="39"/>
        <v>0</v>
      </c>
      <c r="AX608" s="899">
        <f>INDEX(V608:AG608,1,MATCH(Parametres!$B$3,V$1:AG$1,0))*IF(OR(C608="L",C608="S",C608="I"),-1,1)</f>
        <v>0</v>
      </c>
      <c r="AY608" s="487" t="s">
        <v>337</v>
      </c>
      <c r="AZ608" s="487" t="e">
        <f>+VLOOKUP($AJ608,Data_Validation!$A:$E,5,0)</f>
        <v>#N/A</v>
      </c>
    </row>
    <row r="609" spans="36:52" ht="15" customHeight="1">
      <c r="AJ609" s="899">
        <f t="shared" si="40"/>
        <v>0</v>
      </c>
      <c r="AK609" s="899">
        <f t="shared" si="40"/>
        <v>0</v>
      </c>
      <c r="AL609" s="905">
        <f>IFERROR(INDEX(G609:R609,1,MATCH(Parametres!$B$3,G$1:R$1,0)-1)*IF(OR(F609="L",F609="S",F609="I"),-1,1),"")</f>
        <v>0</v>
      </c>
      <c r="AM609" s="905">
        <f t="shared" si="37"/>
        <v>0</v>
      </c>
      <c r="AN609" s="905">
        <f>INDEX(G609:R609,1,MATCH(Parametres!$B$3,G$1:R$1,0))*IF(OR(F609="L",F609="S",F609="I"),-1,1)</f>
        <v>0</v>
      </c>
      <c r="AO609" s="487" t="e">
        <f>+VLOOKUP($AJ609,Data_Validation!$A:$D,1,0)</f>
        <v>#N/A</v>
      </c>
      <c r="AP609" s="487" t="e">
        <f>+VLOOKUP($AJ609,Data_Validation!$A:$D,3,0)</f>
        <v>#N/A</v>
      </c>
      <c r="AQ609" s="487" t="e">
        <f>+VLOOKUP($AJ609,Data_Validation!$A:$D,4,0)</f>
        <v>#N/A</v>
      </c>
      <c r="AR609" s="487" t="s">
        <v>299</v>
      </c>
      <c r="AS609" s="487" t="e">
        <f>+VLOOKUP($AJ609,Data_Validation!$A:$E,5,0)</f>
        <v>#N/A</v>
      </c>
      <c r="AT609" s="904">
        <f t="shared" si="38"/>
        <v>0</v>
      </c>
      <c r="AU609" s="488">
        <f t="shared" si="38"/>
        <v>0</v>
      </c>
      <c r="AV609" s="899">
        <f>IFERROR(INDEX(V609:AG609,1,MATCH(Parametres!$B$3,V$1:AG$1,0)-1)*IF(OR(C609="L",C609="S",C609="I"),-1,1),"")</f>
        <v>0</v>
      </c>
      <c r="AW609" s="899">
        <f t="shared" si="39"/>
        <v>0</v>
      </c>
      <c r="AX609" s="899">
        <f>INDEX(V609:AG609,1,MATCH(Parametres!$B$3,V$1:AG$1,0))*IF(OR(C609="L",C609="S",C609="I"),-1,1)</f>
        <v>0</v>
      </c>
      <c r="AY609" s="487" t="s">
        <v>337</v>
      </c>
      <c r="AZ609" s="487" t="e">
        <f>+VLOOKUP($AJ609,Data_Validation!$A:$E,5,0)</f>
        <v>#N/A</v>
      </c>
    </row>
    <row r="610" spans="36:52" ht="15" customHeight="1">
      <c r="AJ610" s="899">
        <f t="shared" si="40"/>
        <v>0</v>
      </c>
      <c r="AK610" s="899">
        <f t="shared" si="40"/>
        <v>0</v>
      </c>
      <c r="AL610" s="905">
        <f>IFERROR(INDEX(G610:R610,1,MATCH(Parametres!$B$3,G$1:R$1,0)-1)*IF(OR(F610="L",F610="S",F610="I"),-1,1),"")</f>
        <v>0</v>
      </c>
      <c r="AM610" s="905">
        <f t="shared" si="37"/>
        <v>0</v>
      </c>
      <c r="AN610" s="905">
        <f>INDEX(G610:R610,1,MATCH(Parametres!$B$3,G$1:R$1,0))*IF(OR(F610="L",F610="S",F610="I"),-1,1)</f>
        <v>0</v>
      </c>
      <c r="AO610" s="487" t="e">
        <f>+VLOOKUP($AJ610,Data_Validation!$A:$D,1,0)</f>
        <v>#N/A</v>
      </c>
      <c r="AP610" s="487" t="e">
        <f>+VLOOKUP($AJ610,Data_Validation!$A:$D,3,0)</f>
        <v>#N/A</v>
      </c>
      <c r="AQ610" s="487" t="e">
        <f>+VLOOKUP($AJ610,Data_Validation!$A:$D,4,0)</f>
        <v>#N/A</v>
      </c>
      <c r="AR610" s="487" t="s">
        <v>299</v>
      </c>
      <c r="AS610" s="487" t="e">
        <f>+VLOOKUP($AJ610,Data_Validation!$A:$E,5,0)</f>
        <v>#N/A</v>
      </c>
      <c r="AT610" s="904">
        <f t="shared" si="38"/>
        <v>0</v>
      </c>
      <c r="AU610" s="488">
        <f t="shared" si="38"/>
        <v>0</v>
      </c>
      <c r="AV610" s="899">
        <f>IFERROR(INDEX(V610:AG610,1,MATCH(Parametres!$B$3,V$1:AG$1,0)-1)*IF(OR(C610="L",C610="S",C610="I"),-1,1),"")</f>
        <v>0</v>
      </c>
      <c r="AW610" s="899">
        <f t="shared" si="39"/>
        <v>0</v>
      </c>
      <c r="AX610" s="899">
        <f>INDEX(V610:AG610,1,MATCH(Parametres!$B$3,V$1:AG$1,0))*IF(OR(C610="L",C610="S",C610="I"),-1,1)</f>
        <v>0</v>
      </c>
      <c r="AY610" s="487" t="s">
        <v>337</v>
      </c>
      <c r="AZ610" s="487" t="e">
        <f>+VLOOKUP($AJ610,Data_Validation!$A:$E,5,0)</f>
        <v>#N/A</v>
      </c>
    </row>
    <row r="611" spans="36:52" ht="15" customHeight="1">
      <c r="AJ611" s="899">
        <f t="shared" si="40"/>
        <v>0</v>
      </c>
      <c r="AK611" s="899">
        <f t="shared" si="40"/>
        <v>0</v>
      </c>
      <c r="AL611" s="905">
        <f>IFERROR(INDEX(G611:R611,1,MATCH(Parametres!$B$3,G$1:R$1,0)-1)*IF(OR(F611="L",F611="S",F611="I"),-1,1),"")</f>
        <v>0</v>
      </c>
      <c r="AM611" s="905">
        <f t="shared" si="37"/>
        <v>0</v>
      </c>
      <c r="AN611" s="905">
        <f>INDEX(G611:R611,1,MATCH(Parametres!$B$3,G$1:R$1,0))*IF(OR(F611="L",F611="S",F611="I"),-1,1)</f>
        <v>0</v>
      </c>
      <c r="AO611" s="487" t="e">
        <f>+VLOOKUP($AJ611,Data_Validation!$A:$D,1,0)</f>
        <v>#N/A</v>
      </c>
      <c r="AP611" s="487" t="e">
        <f>+VLOOKUP($AJ611,Data_Validation!$A:$D,3,0)</f>
        <v>#N/A</v>
      </c>
      <c r="AQ611" s="487" t="e">
        <f>+VLOOKUP($AJ611,Data_Validation!$A:$D,4,0)</f>
        <v>#N/A</v>
      </c>
      <c r="AR611" s="487" t="s">
        <v>299</v>
      </c>
      <c r="AS611" s="487" t="e">
        <f>+VLOOKUP($AJ611,Data_Validation!$A:$E,5,0)</f>
        <v>#N/A</v>
      </c>
      <c r="AT611" s="904">
        <f t="shared" si="38"/>
        <v>0</v>
      </c>
      <c r="AU611" s="488">
        <f t="shared" si="38"/>
        <v>0</v>
      </c>
      <c r="AV611" s="899">
        <f>IFERROR(INDEX(V611:AG611,1,MATCH(Parametres!$B$3,V$1:AG$1,0)-1)*IF(OR(C611="L",C611="S",C611="I"),-1,1),"")</f>
        <v>0</v>
      </c>
      <c r="AW611" s="899">
        <f t="shared" si="39"/>
        <v>0</v>
      </c>
      <c r="AX611" s="899">
        <f>INDEX(V611:AG611,1,MATCH(Parametres!$B$3,V$1:AG$1,0))*IF(OR(C611="L",C611="S",C611="I"),-1,1)</f>
        <v>0</v>
      </c>
      <c r="AY611" s="487" t="s">
        <v>337</v>
      </c>
      <c r="AZ611" s="487" t="e">
        <f>+VLOOKUP($AJ611,Data_Validation!$A:$E,5,0)</f>
        <v>#N/A</v>
      </c>
    </row>
    <row r="612" spans="36:52" ht="15" customHeight="1">
      <c r="AJ612" s="899">
        <f t="shared" si="40"/>
        <v>0</v>
      </c>
      <c r="AK612" s="899">
        <f t="shared" si="40"/>
        <v>0</v>
      </c>
      <c r="AL612" s="905">
        <f>IFERROR(INDEX(G612:R612,1,MATCH(Parametres!$B$3,G$1:R$1,0)-1)*IF(OR(F612="L",F612="S",F612="I"),-1,1),"")</f>
        <v>0</v>
      </c>
      <c r="AM612" s="905">
        <f t="shared" si="37"/>
        <v>0</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f t="shared" si="38"/>
        <v>0</v>
      </c>
      <c r="AU612" s="488">
        <f t="shared" si="38"/>
        <v>0</v>
      </c>
      <c r="AV612" s="899">
        <f>IFERROR(INDEX(V612:AG612,1,MATCH(Parametres!$B$3,V$1:AG$1,0)-1)*IF(OR(C612="L",C612="S",C612="I"),-1,1),"")</f>
        <v>0</v>
      </c>
      <c r="AW612" s="899">
        <f t="shared" si="39"/>
        <v>0</v>
      </c>
      <c r="AX612" s="899">
        <f>INDEX(V612:AG612,1,MATCH(Parametres!$B$3,V$1:AG$1,0))*IF(OR(C612="L",C612="S",C612="I"),-1,1)</f>
        <v>0</v>
      </c>
      <c r="AY612" s="487" t="s">
        <v>337</v>
      </c>
      <c r="AZ612" s="487" t="e">
        <f>+VLOOKUP($AJ612,Data_Validation!$A:$E,5,0)</f>
        <v>#N/A</v>
      </c>
    </row>
    <row r="613" spans="36:52" ht="15" customHeight="1">
      <c r="AJ613" s="899">
        <f t="shared" si="40"/>
        <v>0</v>
      </c>
      <c r="AK613" s="899">
        <f t="shared" si="40"/>
        <v>0</v>
      </c>
      <c r="AL613" s="905">
        <f>IFERROR(INDEX(G613:R613,1,MATCH(Parametres!$B$3,G$1:R$1,0)-1)*IF(OR(F613="L",F613="S",F613="I"),-1,1),"")</f>
        <v>0</v>
      </c>
      <c r="AM613" s="905">
        <f t="shared" si="37"/>
        <v>0</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f t="shared" si="38"/>
        <v>0</v>
      </c>
      <c r="AU613" s="488">
        <f t="shared" si="38"/>
        <v>0</v>
      </c>
      <c r="AV613" s="899">
        <f>IFERROR(INDEX(V613:AG613,1,MATCH(Parametres!$B$3,V$1:AG$1,0)-1)*IF(OR(C613="L",C613="S",C613="I"),-1,1),"")</f>
        <v>0</v>
      </c>
      <c r="AW613" s="899">
        <f t="shared" si="39"/>
        <v>0</v>
      </c>
      <c r="AX613" s="899">
        <f>INDEX(V613:AG613,1,MATCH(Parametres!$B$3,V$1:AG$1,0))*IF(OR(C613="L",C613="S",C613="I"),-1,1)</f>
        <v>0</v>
      </c>
      <c r="AY613" s="487" t="s">
        <v>337</v>
      </c>
      <c r="AZ613" s="487" t="e">
        <f>+VLOOKUP($AJ613,Data_Validation!$A:$E,5,0)</f>
        <v>#N/A</v>
      </c>
    </row>
    <row r="614" spans="36:52" ht="15" customHeight="1">
      <c r="AJ614" s="899">
        <f t="shared" si="40"/>
        <v>0</v>
      </c>
      <c r="AK614" s="899">
        <f t="shared" si="40"/>
        <v>0</v>
      </c>
      <c r="AL614" s="905">
        <f>IFERROR(INDEX(G614:R614,1,MATCH(Parametres!$B$3,G$1:R$1,0)-1)*IF(OR(F614="L",F614="S",F614="I"),-1,1),"")</f>
        <v>0</v>
      </c>
      <c r="AM614" s="905">
        <f t="shared" si="37"/>
        <v>0</v>
      </c>
      <c r="AN614" s="905">
        <f>INDEX(G614:R614,1,MATCH(Parametres!$B$3,G$1:R$1,0))*IF(OR(F614="L",F614="S",F614="I"),-1,1)</f>
        <v>0</v>
      </c>
      <c r="AO614" s="487" t="e">
        <f>+VLOOKUP($AJ614,Data_Validation!$A:$D,1,0)</f>
        <v>#N/A</v>
      </c>
      <c r="AP614" s="487" t="e">
        <f>+VLOOKUP($AJ614,Data_Validation!$A:$D,3,0)</f>
        <v>#N/A</v>
      </c>
      <c r="AQ614" s="487" t="e">
        <f>+VLOOKUP($AJ614,Data_Validation!$A:$D,4,0)</f>
        <v>#N/A</v>
      </c>
      <c r="AR614" s="487" t="s">
        <v>299</v>
      </c>
      <c r="AS614" s="487" t="e">
        <f>+VLOOKUP($AJ614,Data_Validation!$A:$E,5,0)</f>
        <v>#N/A</v>
      </c>
      <c r="AT614" s="904">
        <f t="shared" si="38"/>
        <v>0</v>
      </c>
      <c r="AU614" s="488">
        <f t="shared" si="38"/>
        <v>0</v>
      </c>
      <c r="AV614" s="899">
        <f>IFERROR(INDEX(V614:AG614,1,MATCH(Parametres!$B$3,V$1:AG$1,0)-1)*IF(OR(C614="L",C614="S",C614="I"),-1,1),"")</f>
        <v>0</v>
      </c>
      <c r="AW614" s="899">
        <f t="shared" si="39"/>
        <v>0</v>
      </c>
      <c r="AX614" s="899">
        <f>INDEX(V614:AG614,1,MATCH(Parametres!$B$3,V$1:AG$1,0))*IF(OR(C614="L",C614="S",C614="I"),-1,1)</f>
        <v>0</v>
      </c>
      <c r="AY614" s="487" t="s">
        <v>337</v>
      </c>
      <c r="AZ614" s="487" t="e">
        <f>+VLOOKUP($AJ614,Data_Validation!$A:$E,5,0)</f>
        <v>#N/A</v>
      </c>
    </row>
    <row r="615" spans="36:52" ht="15" customHeight="1">
      <c r="AJ615" s="899">
        <f t="shared" si="40"/>
        <v>0</v>
      </c>
      <c r="AK615" s="899">
        <f t="shared" si="40"/>
        <v>0</v>
      </c>
      <c r="AL615" s="905">
        <f>IFERROR(INDEX(G615:R615,1,MATCH(Parametres!$B$3,G$1:R$1,0)-1)*IF(OR(F615="L",F615="S",F615="I"),-1,1),"")</f>
        <v>0</v>
      </c>
      <c r="AM615" s="905">
        <f t="shared" si="37"/>
        <v>0</v>
      </c>
      <c r="AN615" s="905">
        <f>INDEX(G615:R615,1,MATCH(Parametres!$B$3,G$1:R$1,0))*IF(OR(F615="L",F615="S",F615="I"),-1,1)</f>
        <v>0</v>
      </c>
      <c r="AO615" s="487" t="e">
        <f>+VLOOKUP($AJ615,Data_Validation!$A:$D,1,0)</f>
        <v>#N/A</v>
      </c>
      <c r="AP615" s="487" t="e">
        <f>+VLOOKUP($AJ615,Data_Validation!$A:$D,3,0)</f>
        <v>#N/A</v>
      </c>
      <c r="AQ615" s="487" t="e">
        <f>+VLOOKUP($AJ615,Data_Validation!$A:$D,4,0)</f>
        <v>#N/A</v>
      </c>
      <c r="AR615" s="487" t="s">
        <v>299</v>
      </c>
      <c r="AS615" s="487" t="e">
        <f>+VLOOKUP($AJ615,Data_Validation!$A:$E,5,0)</f>
        <v>#N/A</v>
      </c>
      <c r="AT615" s="904">
        <f t="shared" si="38"/>
        <v>0</v>
      </c>
      <c r="AU615" s="488">
        <f t="shared" si="38"/>
        <v>0</v>
      </c>
      <c r="AV615" s="899">
        <f>IFERROR(INDEX(V615:AG615,1,MATCH(Parametres!$B$3,V$1:AG$1,0)-1)*IF(OR(C615="L",C615="S",C615="I"),-1,1),"")</f>
        <v>0</v>
      </c>
      <c r="AW615" s="899">
        <f t="shared" si="39"/>
        <v>0</v>
      </c>
      <c r="AX615" s="899">
        <f>INDEX(V615:AG615,1,MATCH(Parametres!$B$3,V$1:AG$1,0))*IF(OR(C615="L",C615="S",C615="I"),-1,1)</f>
        <v>0</v>
      </c>
      <c r="AY615" s="487" t="s">
        <v>337</v>
      </c>
      <c r="AZ615" s="487" t="e">
        <f>+VLOOKUP($AJ615,Data_Validation!$A:$E,5,0)</f>
        <v>#N/A</v>
      </c>
    </row>
    <row r="616" spans="36:52" ht="15" customHeight="1">
      <c r="AJ616" s="899">
        <f t="shared" si="40"/>
        <v>0</v>
      </c>
      <c r="AK616" s="899">
        <f t="shared" si="40"/>
        <v>0</v>
      </c>
      <c r="AL616" s="905">
        <f>IFERROR(INDEX(G616:R616,1,MATCH(Parametres!$B$3,G$1:R$1,0)-1)*IF(OR(F616="L",F616="S",F616="I"),-1,1),"")</f>
        <v>0</v>
      </c>
      <c r="AM616" s="905">
        <f t="shared" si="37"/>
        <v>0</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f t="shared" si="38"/>
        <v>0</v>
      </c>
      <c r="AU616" s="488">
        <f t="shared" si="38"/>
        <v>0</v>
      </c>
      <c r="AV616" s="899">
        <f>IFERROR(INDEX(V616:AG616,1,MATCH(Parametres!$B$3,V$1:AG$1,0)-1)*IF(OR(C616="L",C616="S",C616="I"),-1,1),"")</f>
        <v>0</v>
      </c>
      <c r="AW616" s="899">
        <f t="shared" si="39"/>
        <v>0</v>
      </c>
      <c r="AX616" s="899">
        <f>INDEX(V616:AG616,1,MATCH(Parametres!$B$3,V$1:AG$1,0))*IF(OR(C616="L",C616="S",C616="I"),-1,1)</f>
        <v>0</v>
      </c>
      <c r="AY616" s="487" t="s">
        <v>337</v>
      </c>
      <c r="AZ616" s="487" t="e">
        <f>+VLOOKUP($AJ616,Data_Validation!$A:$E,5,0)</f>
        <v>#N/A</v>
      </c>
    </row>
    <row r="617" spans="36:52" ht="15" customHeight="1">
      <c r="AJ617" s="899">
        <f t="shared" si="40"/>
        <v>0</v>
      </c>
      <c r="AK617" s="899">
        <f t="shared" si="40"/>
        <v>0</v>
      </c>
      <c r="AL617" s="905">
        <f>IFERROR(INDEX(G617:R617,1,MATCH(Parametres!$B$3,G$1:R$1,0)-1)*IF(OR(F617="L",F617="S",F617="I"),-1,1),"")</f>
        <v>0</v>
      </c>
      <c r="AM617" s="905">
        <f t="shared" si="37"/>
        <v>0</v>
      </c>
      <c r="AN617" s="905">
        <f>INDEX(G617:R617,1,MATCH(Parametres!$B$3,G$1:R$1,0))*IF(OR(F617="L",F617="S",F617="I"),-1,1)</f>
        <v>0</v>
      </c>
      <c r="AO617" s="487" t="e">
        <f>+VLOOKUP($AJ617,Data_Validation!$A:$D,1,0)</f>
        <v>#N/A</v>
      </c>
      <c r="AP617" s="487" t="e">
        <f>+VLOOKUP($AJ617,Data_Validation!$A:$D,3,0)</f>
        <v>#N/A</v>
      </c>
      <c r="AQ617" s="487" t="e">
        <f>+VLOOKUP($AJ617,Data_Validation!$A:$D,4,0)</f>
        <v>#N/A</v>
      </c>
      <c r="AR617" s="487" t="s">
        <v>299</v>
      </c>
      <c r="AS617" s="487" t="e">
        <f>+VLOOKUP($AJ617,Data_Validation!$A:$E,5,0)</f>
        <v>#N/A</v>
      </c>
      <c r="AT617" s="904">
        <f t="shared" si="38"/>
        <v>0</v>
      </c>
      <c r="AU617" s="488">
        <f t="shared" si="38"/>
        <v>0</v>
      </c>
      <c r="AV617" s="899">
        <f>IFERROR(INDEX(V617:AG617,1,MATCH(Parametres!$B$3,V$1:AG$1,0)-1)*IF(OR(C617="L",C617="S",C617="I"),-1,1),"")</f>
        <v>0</v>
      </c>
      <c r="AW617" s="899">
        <f t="shared" si="39"/>
        <v>0</v>
      </c>
      <c r="AX617" s="899">
        <f>INDEX(V617:AG617,1,MATCH(Parametres!$B$3,V$1:AG$1,0))*IF(OR(C617="L",C617="S",C617="I"),-1,1)</f>
        <v>0</v>
      </c>
      <c r="AY617" s="487" t="s">
        <v>337</v>
      </c>
      <c r="AZ617" s="487" t="e">
        <f>+VLOOKUP($AJ617,Data_Validation!$A:$E,5,0)</f>
        <v>#N/A</v>
      </c>
    </row>
    <row r="618" spans="36:52" ht="15" customHeight="1">
      <c r="AJ618" s="899">
        <f t="shared" si="40"/>
        <v>0</v>
      </c>
      <c r="AK618" s="899">
        <f t="shared" si="40"/>
        <v>0</v>
      </c>
      <c r="AL618" s="905">
        <f>IFERROR(INDEX(G618:R618,1,MATCH(Parametres!$B$3,G$1:R$1,0)-1)*IF(OR(F618="L",F618="S",F618="I"),-1,1),"")</f>
        <v>0</v>
      </c>
      <c r="AM618" s="905">
        <f t="shared" si="37"/>
        <v>0</v>
      </c>
      <c r="AN618" s="905">
        <f>INDEX(G618:R618,1,MATCH(Parametres!$B$3,G$1:R$1,0))*IF(OR(F618="L",F618="S",F618="I"),-1,1)</f>
        <v>0</v>
      </c>
      <c r="AO618" s="487" t="e">
        <f>+VLOOKUP($AJ618,Data_Validation!$A:$D,1,0)</f>
        <v>#N/A</v>
      </c>
      <c r="AP618" s="487" t="e">
        <f>+VLOOKUP($AJ618,Data_Validation!$A:$D,3,0)</f>
        <v>#N/A</v>
      </c>
      <c r="AQ618" s="487" t="e">
        <f>+VLOOKUP($AJ618,Data_Validation!$A:$D,4,0)</f>
        <v>#N/A</v>
      </c>
      <c r="AR618" s="487" t="s">
        <v>299</v>
      </c>
      <c r="AS618" s="487" t="e">
        <f>+VLOOKUP($AJ618,Data_Validation!$A:$E,5,0)</f>
        <v>#N/A</v>
      </c>
      <c r="AT618" s="904">
        <f t="shared" si="38"/>
        <v>0</v>
      </c>
      <c r="AU618" s="488">
        <f t="shared" si="38"/>
        <v>0</v>
      </c>
      <c r="AV618" s="899">
        <f>IFERROR(INDEX(V618:AG618,1,MATCH(Parametres!$B$3,V$1:AG$1,0)-1)*IF(OR(C618="L",C618="S",C618="I"),-1,1),"")</f>
        <v>0</v>
      </c>
      <c r="AW618" s="899">
        <f t="shared" si="39"/>
        <v>0</v>
      </c>
      <c r="AX618" s="899">
        <f>INDEX(V618:AG618,1,MATCH(Parametres!$B$3,V$1:AG$1,0))*IF(OR(C618="L",C618="S",C618="I"),-1,1)</f>
        <v>0</v>
      </c>
      <c r="AY618" s="487" t="s">
        <v>337</v>
      </c>
      <c r="AZ618" s="487" t="e">
        <f>+VLOOKUP($AJ618,Data_Validation!$A:$E,5,0)</f>
        <v>#N/A</v>
      </c>
    </row>
    <row r="619" spans="36:52" ht="15" customHeight="1">
      <c r="AJ619" s="899">
        <f t="shared" si="40"/>
        <v>0</v>
      </c>
      <c r="AK619" s="899">
        <f t="shared" si="40"/>
        <v>0</v>
      </c>
      <c r="AL619" s="905">
        <f>IFERROR(INDEX(G619:R619,1,MATCH(Parametres!$B$3,G$1:R$1,0)-1)*IF(OR(F619="L",F619="S",F619="I"),-1,1),"")</f>
        <v>0</v>
      </c>
      <c r="AM619" s="905">
        <f t="shared" si="37"/>
        <v>0</v>
      </c>
      <c r="AN619" s="905">
        <f>INDEX(G619:R619,1,MATCH(Parametres!$B$3,G$1:R$1,0))*IF(OR(F619="L",F619="S",F619="I"),-1,1)</f>
        <v>0</v>
      </c>
      <c r="AO619" s="487" t="e">
        <f>+VLOOKUP($AJ619,Data_Validation!$A:$D,1,0)</f>
        <v>#N/A</v>
      </c>
      <c r="AP619" s="487" t="e">
        <f>+VLOOKUP($AJ619,Data_Validation!$A:$D,3,0)</f>
        <v>#N/A</v>
      </c>
      <c r="AQ619" s="487" t="e">
        <f>+VLOOKUP($AJ619,Data_Validation!$A:$D,4,0)</f>
        <v>#N/A</v>
      </c>
      <c r="AR619" s="487" t="s">
        <v>299</v>
      </c>
      <c r="AS619" s="487" t="e">
        <f>+VLOOKUP($AJ619,Data_Validation!$A:$E,5,0)</f>
        <v>#N/A</v>
      </c>
      <c r="AT619" s="904">
        <f t="shared" si="38"/>
        <v>0</v>
      </c>
      <c r="AU619" s="488">
        <f t="shared" si="38"/>
        <v>0</v>
      </c>
      <c r="AV619" s="899">
        <f>IFERROR(INDEX(V619:AG619,1,MATCH(Parametres!$B$3,V$1:AG$1,0)-1)*IF(OR(C619="L",C619="S",C619="I"),-1,1),"")</f>
        <v>0</v>
      </c>
      <c r="AW619" s="899">
        <f t="shared" si="39"/>
        <v>0</v>
      </c>
      <c r="AX619" s="899">
        <f>INDEX(V619:AG619,1,MATCH(Parametres!$B$3,V$1:AG$1,0))*IF(OR(C619="L",C619="S",C619="I"),-1,1)</f>
        <v>0</v>
      </c>
      <c r="AY619" s="487" t="s">
        <v>337</v>
      </c>
      <c r="AZ619" s="487" t="e">
        <f>+VLOOKUP($AJ619,Data_Validation!$A:$E,5,0)</f>
        <v>#N/A</v>
      </c>
    </row>
    <row r="620" spans="36:52" ht="15" customHeight="1">
      <c r="AJ620" s="899">
        <f t="shared" si="40"/>
        <v>0</v>
      </c>
      <c r="AK620" s="899">
        <f t="shared" si="40"/>
        <v>0</v>
      </c>
      <c r="AL620" s="905">
        <f>IFERROR(INDEX(G620:R620,1,MATCH(Parametres!$B$3,G$1:R$1,0)-1)*IF(OR(F620="L",F620="S",F620="I"),-1,1),"")</f>
        <v>0</v>
      </c>
      <c r="AM620" s="905">
        <f t="shared" si="37"/>
        <v>0</v>
      </c>
      <c r="AN620" s="905">
        <f>INDEX(G620:R620,1,MATCH(Parametres!$B$3,G$1:R$1,0))*IF(OR(F620="L",F620="S",F620="I"),-1,1)</f>
        <v>0</v>
      </c>
      <c r="AO620" s="487" t="e">
        <f>+VLOOKUP($AJ620,Data_Validation!$A:$D,1,0)</f>
        <v>#N/A</v>
      </c>
      <c r="AP620" s="487" t="e">
        <f>+VLOOKUP($AJ620,Data_Validation!$A:$D,3,0)</f>
        <v>#N/A</v>
      </c>
      <c r="AQ620" s="487" t="e">
        <f>+VLOOKUP($AJ620,Data_Validation!$A:$D,4,0)</f>
        <v>#N/A</v>
      </c>
      <c r="AR620" s="487" t="s">
        <v>299</v>
      </c>
      <c r="AS620" s="487" t="e">
        <f>+VLOOKUP($AJ620,Data_Validation!$A:$E,5,0)</f>
        <v>#N/A</v>
      </c>
      <c r="AT620" s="904">
        <f t="shared" si="38"/>
        <v>0</v>
      </c>
      <c r="AU620" s="488">
        <f t="shared" si="38"/>
        <v>0</v>
      </c>
      <c r="AV620" s="899">
        <f>IFERROR(INDEX(V620:AG620,1,MATCH(Parametres!$B$3,V$1:AG$1,0)-1)*IF(OR(C620="L",C620="S",C620="I"),-1,1),"")</f>
        <v>0</v>
      </c>
      <c r="AW620" s="899">
        <f t="shared" si="39"/>
        <v>0</v>
      </c>
      <c r="AX620" s="899">
        <f>INDEX(V620:AG620,1,MATCH(Parametres!$B$3,V$1:AG$1,0))*IF(OR(C620="L",C620="S",C620="I"),-1,1)</f>
        <v>0</v>
      </c>
      <c r="AY620" s="487" t="s">
        <v>337</v>
      </c>
      <c r="AZ620" s="487" t="e">
        <f>+VLOOKUP($AJ620,Data_Validation!$A:$E,5,0)</f>
        <v>#N/A</v>
      </c>
    </row>
    <row r="621" spans="36:52" ht="15" customHeight="1">
      <c r="AJ621" s="899">
        <f t="shared" si="40"/>
        <v>0</v>
      </c>
      <c r="AK621" s="899">
        <f t="shared" si="40"/>
        <v>0</v>
      </c>
      <c r="AL621" s="905">
        <f>IFERROR(INDEX(G621:R621,1,MATCH(Parametres!$B$3,G$1:R$1,0)-1)*IF(OR(F621="L",F621="S",F621="I"),-1,1),"")</f>
        <v>0</v>
      </c>
      <c r="AM621" s="905">
        <f t="shared" si="37"/>
        <v>0</v>
      </c>
      <c r="AN621" s="905">
        <f>INDEX(G621:R621,1,MATCH(Parametres!$B$3,G$1:R$1,0))*IF(OR(F621="L",F621="S",F621="I"),-1,1)</f>
        <v>0</v>
      </c>
      <c r="AO621" s="487" t="e">
        <f>+VLOOKUP($AJ621,Data_Validation!$A:$D,1,0)</f>
        <v>#N/A</v>
      </c>
      <c r="AP621" s="487" t="e">
        <f>+VLOOKUP($AJ621,Data_Validation!$A:$D,3,0)</f>
        <v>#N/A</v>
      </c>
      <c r="AQ621" s="487" t="e">
        <f>+VLOOKUP($AJ621,Data_Validation!$A:$D,4,0)</f>
        <v>#N/A</v>
      </c>
      <c r="AR621" s="487" t="s">
        <v>299</v>
      </c>
      <c r="AS621" s="487" t="e">
        <f>+VLOOKUP($AJ621,Data_Validation!$A:$E,5,0)</f>
        <v>#N/A</v>
      </c>
      <c r="AT621" s="904">
        <f t="shared" si="38"/>
        <v>0</v>
      </c>
      <c r="AU621" s="488">
        <f t="shared" si="38"/>
        <v>0</v>
      </c>
      <c r="AV621" s="899">
        <f>IFERROR(INDEX(V621:AG621,1,MATCH(Parametres!$B$3,V$1:AG$1,0)-1)*IF(OR(C621="L",C621="S",C621="I"),-1,1),"")</f>
        <v>0</v>
      </c>
      <c r="AW621" s="899">
        <f t="shared" si="39"/>
        <v>0</v>
      </c>
      <c r="AX621" s="899">
        <f>INDEX(V621:AG621,1,MATCH(Parametres!$B$3,V$1:AG$1,0))*IF(OR(C621="L",C621="S",C621="I"),-1,1)</f>
        <v>0</v>
      </c>
      <c r="AY621" s="487" t="s">
        <v>337</v>
      </c>
      <c r="AZ621" s="487" t="e">
        <f>+VLOOKUP($AJ621,Data_Validation!$A:$E,5,0)</f>
        <v>#N/A</v>
      </c>
    </row>
    <row r="622" spans="36:52" ht="15" customHeight="1">
      <c r="AJ622" s="899">
        <f t="shared" si="40"/>
        <v>0</v>
      </c>
      <c r="AK622" s="899">
        <f t="shared" si="40"/>
        <v>0</v>
      </c>
      <c r="AL622" s="905">
        <f>IFERROR(INDEX(G622:R622,1,MATCH(Parametres!$B$3,G$1:R$1,0)-1)*IF(OR(F622="L",F622="S",F622="I"),-1,1),"")</f>
        <v>0</v>
      </c>
      <c r="AM622" s="905">
        <f t="shared" si="37"/>
        <v>0</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f t="shared" si="38"/>
        <v>0</v>
      </c>
      <c r="AU622" s="488">
        <f t="shared" si="38"/>
        <v>0</v>
      </c>
      <c r="AV622" s="899">
        <f>IFERROR(INDEX(V622:AG622,1,MATCH(Parametres!$B$3,V$1:AG$1,0)-1)*IF(OR(C622="L",C622="S",C622="I"),-1,1),"")</f>
        <v>0</v>
      </c>
      <c r="AW622" s="899">
        <f t="shared" si="39"/>
        <v>0</v>
      </c>
      <c r="AX622" s="899">
        <f>INDEX(V622:AG622,1,MATCH(Parametres!$B$3,V$1:AG$1,0))*IF(OR(C622="L",C622="S",C622="I"),-1,1)</f>
        <v>0</v>
      </c>
      <c r="AY622" s="487" t="s">
        <v>337</v>
      </c>
      <c r="AZ622" s="487" t="e">
        <f>+VLOOKUP($AJ622,Data_Validation!$A:$E,5,0)</f>
        <v>#N/A</v>
      </c>
    </row>
    <row r="623" spans="36:52" ht="15" customHeight="1">
      <c r="AJ623" s="899">
        <f t="shared" si="40"/>
        <v>0</v>
      </c>
      <c r="AK623" s="899">
        <f t="shared" si="40"/>
        <v>0</v>
      </c>
      <c r="AL623" s="905">
        <f>IFERROR(INDEX(G623:R623,1,MATCH(Parametres!$B$3,G$1:R$1,0)-1)*IF(OR(F623="L",F623="S",F623="I"),-1,1),"")</f>
        <v>0</v>
      </c>
      <c r="AM623" s="905">
        <f t="shared" si="37"/>
        <v>0</v>
      </c>
      <c r="AN623" s="905">
        <f>INDEX(G623:R623,1,MATCH(Parametres!$B$3,G$1:R$1,0))*IF(OR(F623="L",F623="S",F623="I"),-1,1)</f>
        <v>0</v>
      </c>
      <c r="AO623" s="487" t="e">
        <f>+VLOOKUP($AJ623,Data_Validation!$A:$D,1,0)</f>
        <v>#N/A</v>
      </c>
      <c r="AP623" s="487" t="e">
        <f>+VLOOKUP($AJ623,Data_Validation!$A:$D,3,0)</f>
        <v>#N/A</v>
      </c>
      <c r="AQ623" s="487" t="e">
        <f>+VLOOKUP($AJ623,Data_Validation!$A:$D,4,0)</f>
        <v>#N/A</v>
      </c>
      <c r="AR623" s="487" t="s">
        <v>299</v>
      </c>
      <c r="AS623" s="487" t="e">
        <f>+VLOOKUP($AJ623,Data_Validation!$A:$E,5,0)</f>
        <v>#N/A</v>
      </c>
      <c r="AT623" s="904">
        <f t="shared" si="38"/>
        <v>0</v>
      </c>
      <c r="AU623" s="488">
        <f t="shared" si="38"/>
        <v>0</v>
      </c>
      <c r="AV623" s="899">
        <f>IFERROR(INDEX(V623:AG623,1,MATCH(Parametres!$B$3,V$1:AG$1,0)-1)*IF(OR(C623="L",C623="S",C623="I"),-1,1),"")</f>
        <v>0</v>
      </c>
      <c r="AW623" s="899">
        <f t="shared" si="39"/>
        <v>0</v>
      </c>
      <c r="AX623" s="899">
        <f>INDEX(V623:AG623,1,MATCH(Parametres!$B$3,V$1:AG$1,0))*IF(OR(C623="L",C623="S",C623="I"),-1,1)</f>
        <v>0</v>
      </c>
      <c r="AY623" s="487" t="s">
        <v>337</v>
      </c>
      <c r="AZ623" s="487" t="e">
        <f>+VLOOKUP($AJ623,Data_Validation!$A:$E,5,0)</f>
        <v>#N/A</v>
      </c>
    </row>
    <row r="624" spans="36:52" ht="15" customHeight="1">
      <c r="AJ624" s="899">
        <f t="shared" si="40"/>
        <v>0</v>
      </c>
      <c r="AK624" s="899">
        <f t="shared" si="40"/>
        <v>0</v>
      </c>
      <c r="AL624" s="905">
        <f>IFERROR(INDEX(G624:R624,1,MATCH(Parametres!$B$3,G$1:R$1,0)-1)*IF(OR(F624="L",F624="S",F624="I"),-1,1),"")</f>
        <v>0</v>
      </c>
      <c r="AM624" s="905">
        <f t="shared" si="37"/>
        <v>0</v>
      </c>
      <c r="AN624" s="905">
        <f>INDEX(G624:R624,1,MATCH(Parametres!$B$3,G$1:R$1,0))*IF(OR(F624="L",F624="S",F624="I"),-1,1)</f>
        <v>0</v>
      </c>
      <c r="AO624" s="487" t="e">
        <f>+VLOOKUP($AJ624,Data_Validation!$A:$D,1,0)</f>
        <v>#N/A</v>
      </c>
      <c r="AP624" s="487" t="e">
        <f>+VLOOKUP($AJ624,Data_Validation!$A:$D,3,0)</f>
        <v>#N/A</v>
      </c>
      <c r="AQ624" s="487" t="e">
        <f>+VLOOKUP($AJ624,Data_Validation!$A:$D,4,0)</f>
        <v>#N/A</v>
      </c>
      <c r="AR624" s="487" t="s">
        <v>299</v>
      </c>
      <c r="AS624" s="487" t="e">
        <f>+VLOOKUP($AJ624,Data_Validation!$A:$E,5,0)</f>
        <v>#N/A</v>
      </c>
      <c r="AT624" s="904">
        <f t="shared" si="38"/>
        <v>0</v>
      </c>
      <c r="AU624" s="488">
        <f t="shared" si="38"/>
        <v>0</v>
      </c>
      <c r="AV624" s="899">
        <f>IFERROR(INDEX(V624:AG624,1,MATCH(Parametres!$B$3,V$1:AG$1,0)-1)*IF(OR(C624="L",C624="S",C624="I"),-1,1),"")</f>
        <v>0</v>
      </c>
      <c r="AW624" s="899">
        <f t="shared" si="39"/>
        <v>0</v>
      </c>
      <c r="AX624" s="899">
        <f>INDEX(V624:AG624,1,MATCH(Parametres!$B$3,V$1:AG$1,0))*IF(OR(C624="L",C624="S",C624="I"),-1,1)</f>
        <v>0</v>
      </c>
      <c r="AY624" s="487" t="s">
        <v>337</v>
      </c>
      <c r="AZ624" s="487" t="e">
        <f>+VLOOKUP($AJ624,Data_Validation!$A:$E,5,0)</f>
        <v>#N/A</v>
      </c>
    </row>
    <row r="625" spans="36:52" ht="15" customHeight="1">
      <c r="AJ625" s="899">
        <f t="shared" si="40"/>
        <v>0</v>
      </c>
      <c r="AK625" s="899">
        <f t="shared" si="40"/>
        <v>0</v>
      </c>
      <c r="AL625" s="905">
        <f>IFERROR(INDEX(G625:R625,1,MATCH(Parametres!$B$3,G$1:R$1,0)-1)*IF(OR(F625="L",F625="S",F625="I"),-1,1),"")</f>
        <v>0</v>
      </c>
      <c r="AM625" s="905">
        <f t="shared" si="37"/>
        <v>0</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f t="shared" si="38"/>
        <v>0</v>
      </c>
      <c r="AU625" s="488">
        <f t="shared" si="38"/>
        <v>0</v>
      </c>
      <c r="AV625" s="899">
        <f>IFERROR(INDEX(V625:AG625,1,MATCH(Parametres!$B$3,V$1:AG$1,0)-1)*IF(OR(C625="L",C625="S",C625="I"),-1,1),"")</f>
        <v>0</v>
      </c>
      <c r="AW625" s="899">
        <f t="shared" si="39"/>
        <v>0</v>
      </c>
      <c r="AX625" s="899">
        <f>INDEX(V625:AG625,1,MATCH(Parametres!$B$3,V$1:AG$1,0))*IF(OR(C625="L",C625="S",C625="I"),-1,1)</f>
        <v>0</v>
      </c>
      <c r="AY625" s="487" t="s">
        <v>337</v>
      </c>
      <c r="AZ625" s="487" t="e">
        <f>+VLOOKUP($AJ625,Data_Validation!$A:$E,5,0)</f>
        <v>#N/A</v>
      </c>
    </row>
    <row r="626" spans="36:52" ht="15" customHeight="1">
      <c r="AJ626" s="899">
        <f t="shared" si="40"/>
        <v>0</v>
      </c>
      <c r="AK626" s="899">
        <f t="shared" si="40"/>
        <v>0</v>
      </c>
      <c r="AL626" s="905">
        <f>IFERROR(INDEX(G626:R626,1,MATCH(Parametres!$B$3,G$1:R$1,0)-1)*IF(OR(F626="L",F626="S",F626="I"),-1,1),"")</f>
        <v>0</v>
      </c>
      <c r="AM626" s="905">
        <f t="shared" si="37"/>
        <v>0</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f t="shared" si="38"/>
        <v>0</v>
      </c>
      <c r="AU626" s="488">
        <f t="shared" si="38"/>
        <v>0</v>
      </c>
      <c r="AV626" s="899">
        <f>IFERROR(INDEX(V626:AG626,1,MATCH(Parametres!$B$3,V$1:AG$1,0)-1)*IF(OR(C626="L",C626="S",C626="I"),-1,1),"")</f>
        <v>0</v>
      </c>
      <c r="AW626" s="899">
        <f t="shared" si="39"/>
        <v>0</v>
      </c>
      <c r="AX626" s="899">
        <f>INDEX(V626:AG626,1,MATCH(Parametres!$B$3,V$1:AG$1,0))*IF(OR(C626="L",C626="S",C626="I"),-1,1)</f>
        <v>0</v>
      </c>
      <c r="AY626" s="487" t="s">
        <v>337</v>
      </c>
      <c r="AZ626" s="487" t="e">
        <f>+VLOOKUP($AJ626,Data_Validation!$A:$E,5,0)</f>
        <v>#N/A</v>
      </c>
    </row>
    <row r="627" spans="36:52" ht="15" customHeight="1">
      <c r="AJ627" s="899">
        <f t="shared" si="40"/>
        <v>0</v>
      </c>
      <c r="AK627" s="899">
        <f t="shared" si="40"/>
        <v>0</v>
      </c>
      <c r="AL627" s="905">
        <f>IFERROR(INDEX(G627:R627,1,MATCH(Parametres!$B$3,G$1:R$1,0)-1)*IF(OR(F627="L",F627="S",F627="I"),-1,1),"")</f>
        <v>0</v>
      </c>
      <c r="AM627" s="905">
        <f t="shared" si="37"/>
        <v>0</v>
      </c>
      <c r="AN627" s="905">
        <f>INDEX(G627:R627,1,MATCH(Parametres!$B$3,G$1:R$1,0))*IF(OR(F627="L",F627="S",F627="I"),-1,1)</f>
        <v>0</v>
      </c>
      <c r="AO627" s="487" t="e">
        <f>+VLOOKUP($AJ627,Data_Validation!$A:$D,1,0)</f>
        <v>#N/A</v>
      </c>
      <c r="AP627" s="487" t="e">
        <f>+VLOOKUP($AJ627,Data_Validation!$A:$D,3,0)</f>
        <v>#N/A</v>
      </c>
      <c r="AQ627" s="487" t="e">
        <f>+VLOOKUP($AJ627,Data_Validation!$A:$D,4,0)</f>
        <v>#N/A</v>
      </c>
      <c r="AR627" s="487" t="s">
        <v>299</v>
      </c>
      <c r="AS627" s="487" t="e">
        <f>+VLOOKUP($AJ627,Data_Validation!$A:$E,5,0)</f>
        <v>#N/A</v>
      </c>
      <c r="AT627" s="904">
        <f t="shared" si="38"/>
        <v>0</v>
      </c>
      <c r="AU627" s="488">
        <f t="shared" si="38"/>
        <v>0</v>
      </c>
      <c r="AV627" s="899">
        <f>IFERROR(INDEX(V627:AG627,1,MATCH(Parametres!$B$3,V$1:AG$1,0)-1)*IF(OR(C627="L",C627="S",C627="I"),-1,1),"")</f>
        <v>0</v>
      </c>
      <c r="AW627" s="899">
        <f t="shared" si="39"/>
        <v>0</v>
      </c>
      <c r="AX627" s="899">
        <f>INDEX(V627:AG627,1,MATCH(Parametres!$B$3,V$1:AG$1,0))*IF(OR(C627="L",C627="S",C627="I"),-1,1)</f>
        <v>0</v>
      </c>
      <c r="AY627" s="487" t="s">
        <v>337</v>
      </c>
      <c r="AZ627" s="487" t="e">
        <f>+VLOOKUP($AJ627,Data_Validation!$A:$E,5,0)</f>
        <v>#N/A</v>
      </c>
    </row>
    <row r="628" spans="36:52" ht="15" customHeight="1">
      <c r="AJ628" s="899">
        <f t="shared" si="40"/>
        <v>0</v>
      </c>
      <c r="AK628" s="899">
        <f t="shared" si="40"/>
        <v>0</v>
      </c>
      <c r="AL628" s="905">
        <f>IFERROR(INDEX(G628:R628,1,MATCH(Parametres!$B$3,G$1:R$1,0)-1)*IF(OR(F628="L",F628="S",F628="I"),-1,1),"")</f>
        <v>0</v>
      </c>
      <c r="AM628" s="905">
        <f t="shared" si="37"/>
        <v>0</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f t="shared" si="38"/>
        <v>0</v>
      </c>
      <c r="AU628" s="488">
        <f t="shared" si="38"/>
        <v>0</v>
      </c>
      <c r="AV628" s="899">
        <f>IFERROR(INDEX(V628:AG628,1,MATCH(Parametres!$B$3,V$1:AG$1,0)-1)*IF(OR(C628="L",C628="S",C628="I"),-1,1),"")</f>
        <v>0</v>
      </c>
      <c r="AW628" s="899">
        <f t="shared" si="39"/>
        <v>0</v>
      </c>
      <c r="AX628" s="899">
        <f>INDEX(V628:AG628,1,MATCH(Parametres!$B$3,V$1:AG$1,0))*IF(OR(C628="L",C628="S",C628="I"),-1,1)</f>
        <v>0</v>
      </c>
      <c r="AY628" s="487" t="s">
        <v>337</v>
      </c>
      <c r="AZ628" s="487" t="e">
        <f>+VLOOKUP($AJ628,Data_Validation!$A:$E,5,0)</f>
        <v>#N/A</v>
      </c>
    </row>
    <row r="629" spans="36:52" ht="15" customHeight="1">
      <c r="AJ629" s="899">
        <f t="shared" si="40"/>
        <v>0</v>
      </c>
      <c r="AK629" s="899">
        <f t="shared" si="40"/>
        <v>0</v>
      </c>
      <c r="AL629" s="905">
        <f>IFERROR(INDEX(G629:R629,1,MATCH(Parametres!$B$3,G$1:R$1,0)-1)*IF(OR(F629="L",F629="S",F629="I"),-1,1),"")</f>
        <v>0</v>
      </c>
      <c r="AM629" s="905">
        <f t="shared" si="37"/>
        <v>0</v>
      </c>
      <c r="AN629" s="905">
        <f>INDEX(G629:R629,1,MATCH(Parametres!$B$3,G$1:R$1,0))*IF(OR(F629="L",F629="S",F629="I"),-1,1)</f>
        <v>0</v>
      </c>
      <c r="AO629" s="487" t="e">
        <f>+VLOOKUP($AJ629,Data_Validation!$A:$D,1,0)</f>
        <v>#N/A</v>
      </c>
      <c r="AP629" s="487" t="e">
        <f>+VLOOKUP($AJ629,Data_Validation!$A:$D,3,0)</f>
        <v>#N/A</v>
      </c>
      <c r="AQ629" s="487" t="e">
        <f>+VLOOKUP($AJ629,Data_Validation!$A:$D,4,0)</f>
        <v>#N/A</v>
      </c>
      <c r="AR629" s="487" t="s">
        <v>299</v>
      </c>
      <c r="AS629" s="487" t="e">
        <f>+VLOOKUP($AJ629,Data_Validation!$A:$E,5,0)</f>
        <v>#N/A</v>
      </c>
      <c r="AT629" s="904">
        <f t="shared" si="38"/>
        <v>0</v>
      </c>
      <c r="AU629" s="488">
        <f t="shared" si="38"/>
        <v>0</v>
      </c>
      <c r="AV629" s="899">
        <f>IFERROR(INDEX(V629:AG629,1,MATCH(Parametres!$B$3,V$1:AG$1,0)-1)*IF(OR(C629="L",C629="S",C629="I"),-1,1),"")</f>
        <v>0</v>
      </c>
      <c r="AW629" s="899">
        <f t="shared" si="39"/>
        <v>0</v>
      </c>
      <c r="AX629" s="899">
        <f>INDEX(V629:AG629,1,MATCH(Parametres!$B$3,V$1:AG$1,0))*IF(OR(C629="L",C629="S",C629="I"),-1,1)</f>
        <v>0</v>
      </c>
      <c r="AY629" s="487" t="s">
        <v>337</v>
      </c>
      <c r="AZ629" s="487" t="e">
        <f>+VLOOKUP($AJ629,Data_Validation!$A:$E,5,0)</f>
        <v>#N/A</v>
      </c>
    </row>
    <row r="630" spans="36:52" ht="15" customHeight="1">
      <c r="AJ630" s="899">
        <f t="shared" si="40"/>
        <v>0</v>
      </c>
      <c r="AK630" s="899">
        <f t="shared" si="40"/>
        <v>0</v>
      </c>
      <c r="AL630" s="905">
        <f>IFERROR(INDEX(G630:R630,1,MATCH(Parametres!$B$3,G$1:R$1,0)-1)*IF(OR(F630="L",F630="S",F630="I"),-1,1),"")</f>
        <v>0</v>
      </c>
      <c r="AM630" s="905">
        <f t="shared" si="37"/>
        <v>0</v>
      </c>
      <c r="AN630" s="905">
        <f>INDEX(G630:R630,1,MATCH(Parametres!$B$3,G$1:R$1,0))*IF(OR(F630="L",F630="S",F630="I"),-1,1)</f>
        <v>0</v>
      </c>
      <c r="AO630" s="487" t="e">
        <f>+VLOOKUP($AJ630,Data_Validation!$A:$D,1,0)</f>
        <v>#N/A</v>
      </c>
      <c r="AP630" s="487" t="e">
        <f>+VLOOKUP($AJ630,Data_Validation!$A:$D,3,0)</f>
        <v>#N/A</v>
      </c>
      <c r="AQ630" s="487" t="e">
        <f>+VLOOKUP($AJ630,Data_Validation!$A:$D,4,0)</f>
        <v>#N/A</v>
      </c>
      <c r="AR630" s="487" t="s">
        <v>299</v>
      </c>
      <c r="AS630" s="487" t="e">
        <f>+VLOOKUP($AJ630,Data_Validation!$A:$E,5,0)</f>
        <v>#N/A</v>
      </c>
      <c r="AT630" s="904">
        <f t="shared" si="38"/>
        <v>0</v>
      </c>
      <c r="AU630" s="488">
        <f t="shared" si="38"/>
        <v>0</v>
      </c>
      <c r="AV630" s="899">
        <f>IFERROR(INDEX(V630:AG630,1,MATCH(Parametres!$B$3,V$1:AG$1,0)-1)*IF(OR(C630="L",C630="S",C630="I"),-1,1),"")</f>
        <v>0</v>
      </c>
      <c r="AW630" s="899">
        <f t="shared" si="39"/>
        <v>0</v>
      </c>
      <c r="AX630" s="899">
        <f>INDEX(V630:AG630,1,MATCH(Parametres!$B$3,V$1:AG$1,0))*IF(OR(C630="L",C630="S",C630="I"),-1,1)</f>
        <v>0</v>
      </c>
      <c r="AY630" s="487" t="s">
        <v>337</v>
      </c>
      <c r="AZ630" s="487" t="e">
        <f>+VLOOKUP($AJ630,Data_Validation!$A:$E,5,0)</f>
        <v>#N/A</v>
      </c>
    </row>
    <row r="631" spans="36:52" ht="15" customHeight="1">
      <c r="AJ631" s="899">
        <f t="shared" si="40"/>
        <v>0</v>
      </c>
      <c r="AK631" s="899">
        <f t="shared" si="40"/>
        <v>0</v>
      </c>
      <c r="AL631" s="905">
        <f>IFERROR(INDEX(G631:R631,1,MATCH(Parametres!$B$3,G$1:R$1,0)-1)*IF(OR(F631="L",F631="S",F631="I"),-1,1),"")</f>
        <v>0</v>
      </c>
      <c r="AM631" s="905">
        <f t="shared" si="37"/>
        <v>0</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f t="shared" si="38"/>
        <v>0</v>
      </c>
      <c r="AU631" s="488">
        <f t="shared" si="38"/>
        <v>0</v>
      </c>
      <c r="AV631" s="899">
        <f>IFERROR(INDEX(V631:AG631,1,MATCH(Parametres!$B$3,V$1:AG$1,0)-1)*IF(OR(C631="L",C631="S",C631="I"),-1,1),"")</f>
        <v>0</v>
      </c>
      <c r="AW631" s="899">
        <f t="shared" si="39"/>
        <v>0</v>
      </c>
      <c r="AX631" s="899">
        <f>INDEX(V631:AG631,1,MATCH(Parametres!$B$3,V$1:AG$1,0))*IF(OR(C631="L",C631="S",C631="I"),-1,1)</f>
        <v>0</v>
      </c>
      <c r="AY631" s="487" t="s">
        <v>337</v>
      </c>
      <c r="AZ631" s="487" t="e">
        <f>+VLOOKUP($AJ631,Data_Validation!$A:$E,5,0)</f>
        <v>#N/A</v>
      </c>
    </row>
    <row r="632" spans="36:52" ht="15" customHeight="1">
      <c r="AJ632" s="899">
        <f t="shared" si="40"/>
        <v>0</v>
      </c>
      <c r="AK632" s="899">
        <f t="shared" si="40"/>
        <v>0</v>
      </c>
      <c r="AL632" s="905">
        <f>IFERROR(INDEX(G632:R632,1,MATCH(Parametres!$B$3,G$1:R$1,0)-1)*IF(OR(F632="L",F632="S",F632="I"),-1,1),"")</f>
        <v>0</v>
      </c>
      <c r="AM632" s="905">
        <f t="shared" si="37"/>
        <v>0</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f t="shared" si="38"/>
        <v>0</v>
      </c>
      <c r="AU632" s="488">
        <f t="shared" si="38"/>
        <v>0</v>
      </c>
      <c r="AV632" s="899">
        <f>IFERROR(INDEX(V632:AG632,1,MATCH(Parametres!$B$3,V$1:AG$1,0)-1)*IF(OR(C632="L",C632="S",C632="I"),-1,1),"")</f>
        <v>0</v>
      </c>
      <c r="AW632" s="899">
        <f t="shared" si="39"/>
        <v>0</v>
      </c>
      <c r="AX632" s="899">
        <f>INDEX(V632:AG632,1,MATCH(Parametres!$B$3,V$1:AG$1,0))*IF(OR(C632="L",C632="S",C632="I"),-1,1)</f>
        <v>0</v>
      </c>
      <c r="AY632" s="487" t="s">
        <v>337</v>
      </c>
      <c r="AZ632" s="487" t="e">
        <f>+VLOOKUP($AJ632,Data_Validation!$A:$E,5,0)</f>
        <v>#N/A</v>
      </c>
    </row>
    <row r="633" spans="36:52" ht="15" customHeight="1">
      <c r="AJ633" s="899">
        <f t="shared" si="40"/>
        <v>0</v>
      </c>
      <c r="AK633" s="899">
        <f t="shared" si="40"/>
        <v>0</v>
      </c>
      <c r="AL633" s="905">
        <f>IFERROR(INDEX(G633:R633,1,MATCH(Parametres!$B$3,G$1:R$1,0)-1)*IF(OR(F633="L",F633="S",F633="I"),-1,1),"")</f>
        <v>0</v>
      </c>
      <c r="AM633" s="905">
        <f t="shared" si="37"/>
        <v>0</v>
      </c>
      <c r="AN633" s="905">
        <f>INDEX(G633:R633,1,MATCH(Parametres!$B$3,G$1:R$1,0))*IF(OR(F633="L",F633="S",F633="I"),-1,1)</f>
        <v>0</v>
      </c>
      <c r="AO633" s="487" t="e">
        <f>+VLOOKUP($AJ633,Data_Validation!$A:$D,1,0)</f>
        <v>#N/A</v>
      </c>
      <c r="AP633" s="487" t="e">
        <f>+VLOOKUP($AJ633,Data_Validation!$A:$D,3,0)</f>
        <v>#N/A</v>
      </c>
      <c r="AQ633" s="487" t="e">
        <f>+VLOOKUP($AJ633,Data_Validation!$A:$D,4,0)</f>
        <v>#N/A</v>
      </c>
      <c r="AR633" s="487" t="s">
        <v>299</v>
      </c>
      <c r="AS633" s="487" t="e">
        <f>+VLOOKUP($AJ633,Data_Validation!$A:$E,5,0)</f>
        <v>#N/A</v>
      </c>
      <c r="AT633" s="904">
        <f t="shared" si="38"/>
        <v>0</v>
      </c>
      <c r="AU633" s="488">
        <f t="shared" si="38"/>
        <v>0</v>
      </c>
      <c r="AV633" s="899">
        <f>IFERROR(INDEX(V633:AG633,1,MATCH(Parametres!$B$3,V$1:AG$1,0)-1)*IF(OR(C633="L",C633="S",C633="I"),-1,1),"")</f>
        <v>0</v>
      </c>
      <c r="AW633" s="899">
        <f t="shared" si="39"/>
        <v>0</v>
      </c>
      <c r="AX633" s="899">
        <f>INDEX(V633:AG633,1,MATCH(Parametres!$B$3,V$1:AG$1,0))*IF(OR(C633="L",C633="S",C633="I"),-1,1)</f>
        <v>0</v>
      </c>
      <c r="AY633" s="487" t="s">
        <v>337</v>
      </c>
      <c r="AZ633" s="487" t="e">
        <f>+VLOOKUP($AJ633,Data_Validation!$A:$E,5,0)</f>
        <v>#N/A</v>
      </c>
    </row>
    <row r="634" spans="36:52" ht="15" customHeight="1">
      <c r="AJ634" s="899">
        <f t="shared" si="40"/>
        <v>0</v>
      </c>
      <c r="AK634" s="899">
        <f t="shared" si="40"/>
        <v>0</v>
      </c>
      <c r="AL634" s="905">
        <f>IFERROR(INDEX(G634:R634,1,MATCH(Parametres!$B$3,G$1:R$1,0)-1)*IF(OR(F634="L",F634="S",F634="I"),-1,1),"")</f>
        <v>0</v>
      </c>
      <c r="AM634" s="905">
        <f t="shared" si="37"/>
        <v>0</v>
      </c>
      <c r="AN634" s="905">
        <f>INDEX(G634:R634,1,MATCH(Parametres!$B$3,G$1:R$1,0))*IF(OR(F634="L",F634="S",F634="I"),-1,1)</f>
        <v>0</v>
      </c>
      <c r="AO634" s="487" t="e">
        <f>+VLOOKUP($AJ634,Data_Validation!$A:$D,1,0)</f>
        <v>#N/A</v>
      </c>
      <c r="AP634" s="487" t="e">
        <f>+VLOOKUP($AJ634,Data_Validation!$A:$D,3,0)</f>
        <v>#N/A</v>
      </c>
      <c r="AQ634" s="487" t="e">
        <f>+VLOOKUP($AJ634,Data_Validation!$A:$D,4,0)</f>
        <v>#N/A</v>
      </c>
      <c r="AR634" s="487" t="s">
        <v>299</v>
      </c>
      <c r="AS634" s="487" t="e">
        <f>+VLOOKUP($AJ634,Data_Validation!$A:$E,5,0)</f>
        <v>#N/A</v>
      </c>
      <c r="AT634" s="904">
        <f t="shared" si="38"/>
        <v>0</v>
      </c>
      <c r="AU634" s="488">
        <f t="shared" si="38"/>
        <v>0</v>
      </c>
      <c r="AV634" s="899">
        <f>IFERROR(INDEX(V634:AG634,1,MATCH(Parametres!$B$3,V$1:AG$1,0)-1)*IF(OR(C634="L",C634="S",C634="I"),-1,1),"")</f>
        <v>0</v>
      </c>
      <c r="AW634" s="899">
        <f t="shared" si="39"/>
        <v>0</v>
      </c>
      <c r="AX634" s="899">
        <f>INDEX(V634:AG634,1,MATCH(Parametres!$B$3,V$1:AG$1,0))*IF(OR(C634="L",C634="S",C634="I"),-1,1)</f>
        <v>0</v>
      </c>
      <c r="AY634" s="487" t="s">
        <v>337</v>
      </c>
      <c r="AZ634" s="487" t="e">
        <f>+VLOOKUP($AJ634,Data_Validation!$A:$E,5,0)</f>
        <v>#N/A</v>
      </c>
    </row>
    <row r="635" spans="36:52" ht="15" customHeight="1">
      <c r="AJ635" s="899">
        <f t="shared" si="40"/>
        <v>0</v>
      </c>
      <c r="AK635" s="899">
        <f t="shared" si="40"/>
        <v>0</v>
      </c>
      <c r="AL635" s="905">
        <f>IFERROR(INDEX(G635:R635,1,MATCH(Parametres!$B$3,G$1:R$1,0)-1)*IF(OR(F635="L",F635="S",F635="I"),-1,1),"")</f>
        <v>0</v>
      </c>
      <c r="AM635" s="905">
        <f t="shared" si="37"/>
        <v>0</v>
      </c>
      <c r="AN635" s="905">
        <f>INDEX(G635:R635,1,MATCH(Parametres!$B$3,G$1:R$1,0))*IF(OR(F635="L",F635="S",F635="I"),-1,1)</f>
        <v>0</v>
      </c>
      <c r="AO635" s="487" t="e">
        <f>+VLOOKUP($AJ635,Data_Validation!$A:$D,1,0)</f>
        <v>#N/A</v>
      </c>
      <c r="AP635" s="487" t="e">
        <f>+VLOOKUP($AJ635,Data_Validation!$A:$D,3,0)</f>
        <v>#N/A</v>
      </c>
      <c r="AQ635" s="487" t="e">
        <f>+VLOOKUP($AJ635,Data_Validation!$A:$D,4,0)</f>
        <v>#N/A</v>
      </c>
      <c r="AR635" s="487" t="s">
        <v>299</v>
      </c>
      <c r="AS635" s="487" t="e">
        <f>+VLOOKUP($AJ635,Data_Validation!$A:$E,5,0)</f>
        <v>#N/A</v>
      </c>
      <c r="AT635" s="904">
        <f t="shared" si="38"/>
        <v>0</v>
      </c>
      <c r="AU635" s="488">
        <f t="shared" si="38"/>
        <v>0</v>
      </c>
      <c r="AV635" s="899">
        <f>IFERROR(INDEX(V635:AG635,1,MATCH(Parametres!$B$3,V$1:AG$1,0)-1)*IF(OR(C635="L",C635="S",C635="I"),-1,1),"")</f>
        <v>0</v>
      </c>
      <c r="AW635" s="899">
        <f t="shared" si="39"/>
        <v>0</v>
      </c>
      <c r="AX635" s="899">
        <f>INDEX(V635:AG635,1,MATCH(Parametres!$B$3,V$1:AG$1,0))*IF(OR(C635="L",C635="S",C635="I"),-1,1)</f>
        <v>0</v>
      </c>
      <c r="AY635" s="487" t="s">
        <v>337</v>
      </c>
      <c r="AZ635" s="487" t="e">
        <f>+VLOOKUP($AJ635,Data_Validation!$A:$E,5,0)</f>
        <v>#N/A</v>
      </c>
    </row>
    <row r="636" spans="36:52" ht="15" customHeight="1">
      <c r="AJ636" s="899">
        <f t="shared" si="40"/>
        <v>0</v>
      </c>
      <c r="AK636" s="899">
        <f t="shared" si="40"/>
        <v>0</v>
      </c>
      <c r="AL636" s="905">
        <f>IFERROR(INDEX(G636:R636,1,MATCH(Parametres!$B$3,G$1:R$1,0)-1)*IF(OR(F636="L",F636="S",F636="I"),-1,1),"")</f>
        <v>0</v>
      </c>
      <c r="AM636" s="905">
        <f t="shared" si="37"/>
        <v>0</v>
      </c>
      <c r="AN636" s="905">
        <f>INDEX(G636:R636,1,MATCH(Parametres!$B$3,G$1:R$1,0))*IF(OR(F636="L",F636="S",F636="I"),-1,1)</f>
        <v>0</v>
      </c>
      <c r="AO636" s="487" t="e">
        <f>+VLOOKUP($AJ636,Data_Validation!$A:$D,1,0)</f>
        <v>#N/A</v>
      </c>
      <c r="AP636" s="487" t="e">
        <f>+VLOOKUP($AJ636,Data_Validation!$A:$D,3,0)</f>
        <v>#N/A</v>
      </c>
      <c r="AQ636" s="487" t="e">
        <f>+VLOOKUP($AJ636,Data_Validation!$A:$D,4,0)</f>
        <v>#N/A</v>
      </c>
      <c r="AR636" s="487" t="s">
        <v>299</v>
      </c>
      <c r="AS636" s="487" t="e">
        <f>+VLOOKUP($AJ636,Data_Validation!$A:$E,5,0)</f>
        <v>#N/A</v>
      </c>
      <c r="AT636" s="904">
        <f t="shared" si="38"/>
        <v>0</v>
      </c>
      <c r="AU636" s="488">
        <f t="shared" si="38"/>
        <v>0</v>
      </c>
      <c r="AV636" s="899">
        <f>IFERROR(INDEX(V636:AG636,1,MATCH(Parametres!$B$3,V$1:AG$1,0)-1)*IF(OR(C636="L",C636="S",C636="I"),-1,1),"")</f>
        <v>0</v>
      </c>
      <c r="AW636" s="899">
        <f t="shared" si="39"/>
        <v>0</v>
      </c>
      <c r="AX636" s="899">
        <f>INDEX(V636:AG636,1,MATCH(Parametres!$B$3,V$1:AG$1,0))*IF(OR(C636="L",C636="S",C636="I"),-1,1)</f>
        <v>0</v>
      </c>
      <c r="AY636" s="487" t="s">
        <v>337</v>
      </c>
      <c r="AZ636" s="487" t="e">
        <f>+VLOOKUP($AJ636,Data_Validation!$A:$E,5,0)</f>
        <v>#N/A</v>
      </c>
    </row>
    <row r="637" spans="36:52" ht="15" customHeight="1">
      <c r="AJ637" s="899">
        <f t="shared" si="40"/>
        <v>0</v>
      </c>
      <c r="AK637" s="899">
        <f t="shared" si="40"/>
        <v>0</v>
      </c>
      <c r="AL637" s="905">
        <f>IFERROR(INDEX(G637:R637,1,MATCH(Parametres!$B$3,G$1:R$1,0)-1)*IF(OR(F637="L",F637="S",F637="I"),-1,1),"")</f>
        <v>0</v>
      </c>
      <c r="AM637" s="905">
        <f t="shared" si="37"/>
        <v>0</v>
      </c>
      <c r="AN637" s="905">
        <f>INDEX(G637:R637,1,MATCH(Parametres!$B$3,G$1:R$1,0))*IF(OR(F637="L",F637="S",F637="I"),-1,1)</f>
        <v>0</v>
      </c>
      <c r="AO637" s="487" t="e">
        <f>+VLOOKUP($AJ637,Data_Validation!$A:$D,1,0)</f>
        <v>#N/A</v>
      </c>
      <c r="AP637" s="487" t="e">
        <f>+VLOOKUP($AJ637,Data_Validation!$A:$D,3,0)</f>
        <v>#N/A</v>
      </c>
      <c r="AQ637" s="487" t="e">
        <f>+VLOOKUP($AJ637,Data_Validation!$A:$D,4,0)</f>
        <v>#N/A</v>
      </c>
      <c r="AR637" s="487" t="s">
        <v>299</v>
      </c>
      <c r="AS637" s="487" t="e">
        <f>+VLOOKUP($AJ637,Data_Validation!$A:$E,5,0)</f>
        <v>#N/A</v>
      </c>
      <c r="AT637" s="904">
        <f t="shared" si="38"/>
        <v>0</v>
      </c>
      <c r="AU637" s="488">
        <f t="shared" si="38"/>
        <v>0</v>
      </c>
      <c r="AV637" s="899">
        <f>IFERROR(INDEX(V637:AG637,1,MATCH(Parametres!$B$3,V$1:AG$1,0)-1)*IF(OR(C637="L",C637="S",C637="I"),-1,1),"")</f>
        <v>0</v>
      </c>
      <c r="AW637" s="899">
        <f t="shared" si="39"/>
        <v>0</v>
      </c>
      <c r="AX637" s="899">
        <f>INDEX(V637:AG637,1,MATCH(Parametres!$B$3,V$1:AG$1,0))*IF(OR(C637="L",C637="S",C637="I"),-1,1)</f>
        <v>0</v>
      </c>
      <c r="AY637" s="487" t="s">
        <v>337</v>
      </c>
      <c r="AZ637" s="487" t="e">
        <f>+VLOOKUP($AJ637,Data_Validation!$A:$E,5,0)</f>
        <v>#N/A</v>
      </c>
    </row>
    <row r="638" spans="36:52" ht="15" customHeight="1">
      <c r="AJ638" s="899">
        <f t="shared" si="40"/>
        <v>0</v>
      </c>
      <c r="AK638" s="899">
        <f t="shared" si="40"/>
        <v>0</v>
      </c>
      <c r="AL638" s="905">
        <f>IFERROR(INDEX(G638:R638,1,MATCH(Parametres!$B$3,G$1:R$1,0)-1)*IF(OR(F638="L",F638="S",F638="I"),-1,1),"")</f>
        <v>0</v>
      </c>
      <c r="AM638" s="905">
        <f t="shared" si="37"/>
        <v>0</v>
      </c>
      <c r="AN638" s="905">
        <f>INDEX(G638:R638,1,MATCH(Parametres!$B$3,G$1:R$1,0))*IF(OR(F638="L",F638="S",F638="I"),-1,1)</f>
        <v>0</v>
      </c>
      <c r="AO638" s="487" t="e">
        <f>+VLOOKUP($AJ638,Data_Validation!$A:$D,1,0)</f>
        <v>#N/A</v>
      </c>
      <c r="AP638" s="487" t="e">
        <f>+VLOOKUP($AJ638,Data_Validation!$A:$D,3,0)</f>
        <v>#N/A</v>
      </c>
      <c r="AQ638" s="487" t="e">
        <f>+VLOOKUP($AJ638,Data_Validation!$A:$D,4,0)</f>
        <v>#N/A</v>
      </c>
      <c r="AR638" s="487" t="s">
        <v>299</v>
      </c>
      <c r="AS638" s="487" t="e">
        <f>+VLOOKUP($AJ638,Data_Validation!$A:$E,5,0)</f>
        <v>#N/A</v>
      </c>
      <c r="AT638" s="904">
        <f t="shared" si="38"/>
        <v>0</v>
      </c>
      <c r="AU638" s="488">
        <f t="shared" si="38"/>
        <v>0</v>
      </c>
      <c r="AV638" s="899">
        <f>IFERROR(INDEX(V638:AG638,1,MATCH(Parametres!$B$3,V$1:AG$1,0)-1)*IF(OR(C638="L",C638="S",C638="I"),-1,1),"")</f>
        <v>0</v>
      </c>
      <c r="AW638" s="899">
        <f t="shared" si="39"/>
        <v>0</v>
      </c>
      <c r="AX638" s="899">
        <f>INDEX(V638:AG638,1,MATCH(Parametres!$B$3,V$1:AG$1,0))*IF(OR(C638="L",C638="S",C638="I"),-1,1)</f>
        <v>0</v>
      </c>
      <c r="AY638" s="487" t="s">
        <v>337</v>
      </c>
      <c r="AZ638" s="487" t="e">
        <f>+VLOOKUP($AJ638,Data_Validation!$A:$E,5,0)</f>
        <v>#N/A</v>
      </c>
    </row>
    <row r="639" spans="36:52" ht="15" customHeight="1">
      <c r="AJ639" s="899">
        <f t="shared" si="40"/>
        <v>0</v>
      </c>
      <c r="AK639" s="899">
        <f t="shared" si="40"/>
        <v>0</v>
      </c>
      <c r="AL639" s="905">
        <f>IFERROR(INDEX(G639:R639,1,MATCH(Parametres!$B$3,G$1:R$1,0)-1)*IF(OR(F639="L",F639="S",F639="I"),-1,1),"")</f>
        <v>0</v>
      </c>
      <c r="AM639" s="905">
        <f t="shared" si="37"/>
        <v>0</v>
      </c>
      <c r="AN639" s="905">
        <f>INDEX(G639:R639,1,MATCH(Parametres!$B$3,G$1:R$1,0))*IF(OR(F639="L",F639="S",F639="I"),-1,1)</f>
        <v>0</v>
      </c>
      <c r="AO639" s="487" t="e">
        <f>+VLOOKUP($AJ639,Data_Validation!$A:$D,1,0)</f>
        <v>#N/A</v>
      </c>
      <c r="AP639" s="487" t="e">
        <f>+VLOOKUP($AJ639,Data_Validation!$A:$D,3,0)</f>
        <v>#N/A</v>
      </c>
      <c r="AQ639" s="487" t="e">
        <f>+VLOOKUP($AJ639,Data_Validation!$A:$D,4,0)</f>
        <v>#N/A</v>
      </c>
      <c r="AR639" s="487" t="s">
        <v>299</v>
      </c>
      <c r="AS639" s="487" t="e">
        <f>+VLOOKUP($AJ639,Data_Validation!$A:$E,5,0)</f>
        <v>#N/A</v>
      </c>
      <c r="AT639" s="904">
        <f t="shared" si="38"/>
        <v>0</v>
      </c>
      <c r="AU639" s="488">
        <f t="shared" si="38"/>
        <v>0</v>
      </c>
      <c r="AV639" s="899">
        <f>IFERROR(INDEX(V639:AG639,1,MATCH(Parametres!$B$3,V$1:AG$1,0)-1)*IF(OR(C639="L",C639="S",C639="I"),-1,1),"")</f>
        <v>0</v>
      </c>
      <c r="AW639" s="899">
        <f t="shared" si="39"/>
        <v>0</v>
      </c>
      <c r="AX639" s="899">
        <f>INDEX(V639:AG639,1,MATCH(Parametres!$B$3,V$1:AG$1,0))*IF(OR(C639="L",C639="S",C639="I"),-1,1)</f>
        <v>0</v>
      </c>
      <c r="AY639" s="487" t="s">
        <v>337</v>
      </c>
      <c r="AZ639" s="487" t="e">
        <f>+VLOOKUP($AJ639,Data_Validation!$A:$E,5,0)</f>
        <v>#N/A</v>
      </c>
    </row>
    <row r="640" spans="36:52" ht="15" customHeight="1">
      <c r="AJ640" s="899">
        <f t="shared" si="40"/>
        <v>0</v>
      </c>
      <c r="AK640" s="899">
        <f t="shared" si="40"/>
        <v>0</v>
      </c>
      <c r="AL640" s="905">
        <f>IFERROR(INDEX(G640:R640,1,MATCH(Parametres!$B$3,G$1:R$1,0)-1)*IF(OR(F640="L",F640="S",F640="I"),-1,1),"")</f>
        <v>0</v>
      </c>
      <c r="AM640" s="905">
        <f t="shared" si="37"/>
        <v>0</v>
      </c>
      <c r="AN640" s="905">
        <f>INDEX(G640:R640,1,MATCH(Parametres!$B$3,G$1:R$1,0))*IF(OR(F640="L",F640="S",F640="I"),-1,1)</f>
        <v>0</v>
      </c>
      <c r="AO640" s="487" t="e">
        <f>+VLOOKUP($AJ640,Data_Validation!$A:$D,1,0)</f>
        <v>#N/A</v>
      </c>
      <c r="AP640" s="487" t="e">
        <f>+VLOOKUP($AJ640,Data_Validation!$A:$D,3,0)</f>
        <v>#N/A</v>
      </c>
      <c r="AQ640" s="487" t="e">
        <f>+VLOOKUP($AJ640,Data_Validation!$A:$D,4,0)</f>
        <v>#N/A</v>
      </c>
      <c r="AR640" s="487" t="s">
        <v>299</v>
      </c>
      <c r="AS640" s="487" t="e">
        <f>+VLOOKUP($AJ640,Data_Validation!$A:$E,5,0)</f>
        <v>#N/A</v>
      </c>
      <c r="AT640" s="904">
        <f t="shared" si="38"/>
        <v>0</v>
      </c>
      <c r="AU640" s="488">
        <f t="shared" si="38"/>
        <v>0</v>
      </c>
      <c r="AV640" s="899">
        <f>IFERROR(INDEX(V640:AG640,1,MATCH(Parametres!$B$3,V$1:AG$1,0)-1)*IF(OR(C640="L",C640="S",C640="I"),-1,1),"")</f>
        <v>0</v>
      </c>
      <c r="AW640" s="899">
        <f t="shared" si="39"/>
        <v>0</v>
      </c>
      <c r="AX640" s="899">
        <f>INDEX(V640:AG640,1,MATCH(Parametres!$B$3,V$1:AG$1,0))*IF(OR(C640="L",C640="S",C640="I"),-1,1)</f>
        <v>0</v>
      </c>
      <c r="AY640" s="487" t="s">
        <v>337</v>
      </c>
      <c r="AZ640" s="487" t="e">
        <f>+VLOOKUP($AJ640,Data_Validation!$A:$E,5,0)</f>
        <v>#N/A</v>
      </c>
    </row>
    <row r="641" spans="36:52" ht="15" customHeight="1">
      <c r="AJ641" s="899">
        <f t="shared" si="40"/>
        <v>0</v>
      </c>
      <c r="AK641" s="899">
        <f t="shared" si="40"/>
        <v>0</v>
      </c>
      <c r="AL641" s="905">
        <f>IFERROR(INDEX(G641:R641,1,MATCH(Parametres!$B$3,G$1:R$1,0)-1)*IF(OR(F641="L",F641="S",F641="I"),-1,1),"")</f>
        <v>0</v>
      </c>
      <c r="AM641" s="905">
        <f t="shared" si="37"/>
        <v>0</v>
      </c>
      <c r="AN641" s="905">
        <f>INDEX(G641:R641,1,MATCH(Parametres!$B$3,G$1:R$1,0))*IF(OR(F641="L",F641="S",F641="I"),-1,1)</f>
        <v>0</v>
      </c>
      <c r="AO641" s="487" t="e">
        <f>+VLOOKUP($AJ641,Data_Validation!$A:$D,1,0)</f>
        <v>#N/A</v>
      </c>
      <c r="AP641" s="487" t="e">
        <f>+VLOOKUP($AJ641,Data_Validation!$A:$D,3,0)</f>
        <v>#N/A</v>
      </c>
      <c r="AQ641" s="487" t="e">
        <f>+VLOOKUP($AJ641,Data_Validation!$A:$D,4,0)</f>
        <v>#N/A</v>
      </c>
      <c r="AR641" s="487" t="s">
        <v>299</v>
      </c>
      <c r="AS641" s="487" t="e">
        <f>+VLOOKUP($AJ641,Data_Validation!$A:$E,5,0)</f>
        <v>#N/A</v>
      </c>
      <c r="AT641" s="904">
        <f t="shared" si="38"/>
        <v>0</v>
      </c>
      <c r="AU641" s="488">
        <f t="shared" si="38"/>
        <v>0</v>
      </c>
      <c r="AV641" s="899">
        <f>IFERROR(INDEX(V641:AG641,1,MATCH(Parametres!$B$3,V$1:AG$1,0)-1)*IF(OR(C641="L",C641="S",C641="I"),-1,1),"")</f>
        <v>0</v>
      </c>
      <c r="AW641" s="899">
        <f t="shared" si="39"/>
        <v>0</v>
      </c>
      <c r="AX641" s="899">
        <f>INDEX(V641:AG641,1,MATCH(Parametres!$B$3,V$1:AG$1,0))*IF(OR(C641="L",C641="S",C641="I"),-1,1)</f>
        <v>0</v>
      </c>
      <c r="AY641" s="487" t="s">
        <v>337</v>
      </c>
      <c r="AZ641" s="487" t="e">
        <f>+VLOOKUP($AJ641,Data_Validation!$A:$E,5,0)</f>
        <v>#N/A</v>
      </c>
    </row>
    <row r="642" spans="36:52" ht="15" customHeight="1">
      <c r="AJ642" s="899">
        <f t="shared" si="40"/>
        <v>0</v>
      </c>
      <c r="AK642" s="899">
        <f t="shared" si="40"/>
        <v>0</v>
      </c>
      <c r="AL642" s="905">
        <f>IFERROR(INDEX(G642:R642,1,MATCH(Parametres!$B$3,G$1:R$1,0)-1)*IF(OR(F642="L",F642="S",F642="I"),-1,1),"")</f>
        <v>0</v>
      </c>
      <c r="AM642" s="905">
        <f t="shared" si="37"/>
        <v>0</v>
      </c>
      <c r="AN642" s="905">
        <f>INDEX(G642:R642,1,MATCH(Parametres!$B$3,G$1:R$1,0))*IF(OR(F642="L",F642="S",F642="I"),-1,1)</f>
        <v>0</v>
      </c>
      <c r="AO642" s="487" t="e">
        <f>+VLOOKUP($AJ642,Data_Validation!$A:$D,1,0)</f>
        <v>#N/A</v>
      </c>
      <c r="AP642" s="487" t="e">
        <f>+VLOOKUP($AJ642,Data_Validation!$A:$D,3,0)</f>
        <v>#N/A</v>
      </c>
      <c r="AQ642" s="487" t="e">
        <f>+VLOOKUP($AJ642,Data_Validation!$A:$D,4,0)</f>
        <v>#N/A</v>
      </c>
      <c r="AR642" s="487" t="s">
        <v>299</v>
      </c>
      <c r="AS642" s="487" t="e">
        <f>+VLOOKUP($AJ642,Data_Validation!$A:$E,5,0)</f>
        <v>#N/A</v>
      </c>
      <c r="AT642" s="904">
        <f t="shared" si="38"/>
        <v>0</v>
      </c>
      <c r="AU642" s="488">
        <f t="shared" si="38"/>
        <v>0</v>
      </c>
      <c r="AV642" s="899">
        <f>IFERROR(INDEX(V642:AG642,1,MATCH(Parametres!$B$3,V$1:AG$1,0)-1)*IF(OR(C642="L",C642="S",C642="I"),-1,1),"")</f>
        <v>0</v>
      </c>
      <c r="AW642" s="899">
        <f t="shared" si="39"/>
        <v>0</v>
      </c>
      <c r="AX642" s="899">
        <f>INDEX(V642:AG642,1,MATCH(Parametres!$B$3,V$1:AG$1,0))*IF(OR(C642="L",C642="S",C642="I"),-1,1)</f>
        <v>0</v>
      </c>
      <c r="AY642" s="487" t="s">
        <v>337</v>
      </c>
      <c r="AZ642" s="487" t="e">
        <f>+VLOOKUP($AJ642,Data_Validation!$A:$E,5,0)</f>
        <v>#N/A</v>
      </c>
    </row>
    <row r="643" spans="36:52" ht="15" customHeight="1">
      <c r="AJ643" s="899">
        <f t="shared" si="40"/>
        <v>0</v>
      </c>
      <c r="AK643" s="899">
        <f t="shared" si="40"/>
        <v>0</v>
      </c>
      <c r="AL643" s="905">
        <f>IFERROR(INDEX(G643:R643,1,MATCH(Parametres!$B$3,G$1:R$1,0)-1)*IF(OR(F643="L",F643="S",F643="I"),-1,1),"")</f>
        <v>0</v>
      </c>
      <c r="AM643" s="905">
        <f t="shared" si="37"/>
        <v>0</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f t="shared" si="38"/>
        <v>0</v>
      </c>
      <c r="AU643" s="488">
        <f t="shared" si="38"/>
        <v>0</v>
      </c>
      <c r="AV643" s="899">
        <f>IFERROR(INDEX(V643:AG643,1,MATCH(Parametres!$B$3,V$1:AG$1,0)-1)*IF(OR(C643="L",C643="S",C643="I"),-1,1),"")</f>
        <v>0</v>
      </c>
      <c r="AW643" s="899">
        <f t="shared" si="39"/>
        <v>0</v>
      </c>
      <c r="AX643" s="899">
        <f>INDEX(V643:AG643,1,MATCH(Parametres!$B$3,V$1:AG$1,0))*IF(OR(C643="L",C643="S",C643="I"),-1,1)</f>
        <v>0</v>
      </c>
      <c r="AY643" s="487" t="s">
        <v>337</v>
      </c>
      <c r="AZ643" s="487" t="e">
        <f>+VLOOKUP($AJ643,Data_Validation!$A:$E,5,0)</f>
        <v>#N/A</v>
      </c>
    </row>
    <row r="644" spans="36:52" ht="15" customHeight="1">
      <c r="AJ644" s="899">
        <f t="shared" si="40"/>
        <v>0</v>
      </c>
      <c r="AK644" s="899">
        <f t="shared" si="40"/>
        <v>0</v>
      </c>
      <c r="AL644" s="905">
        <f>IFERROR(INDEX(G644:R644,1,MATCH(Parametres!$B$3,G$1:R$1,0)-1)*IF(OR(F644="L",F644="S",F644="I"),-1,1),"")</f>
        <v>0</v>
      </c>
      <c r="AM644" s="905">
        <f t="shared" ref="AM644:AM707" si="41">AN644-AL644</f>
        <v>0</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f t="shared" ref="AT644:AU707" si="42">C644</f>
        <v>0</v>
      </c>
      <c r="AU644" s="488">
        <f t="shared" si="42"/>
        <v>0</v>
      </c>
      <c r="AV644" s="899">
        <f>IFERROR(INDEX(V644:AG644,1,MATCH(Parametres!$B$3,V$1:AG$1,0)-1)*IF(OR(C644="L",C644="S",C644="I"),-1,1),"")</f>
        <v>0</v>
      </c>
      <c r="AW644" s="899">
        <f t="shared" ref="AW644:AW707" si="43">AX644-AV644</f>
        <v>0</v>
      </c>
      <c r="AX644" s="899">
        <f>INDEX(V644:AG644,1,MATCH(Parametres!$B$3,V$1:AG$1,0))*IF(OR(C644="L",C644="S",C644="I"),-1,1)</f>
        <v>0</v>
      </c>
      <c r="AY644" s="487" t="s">
        <v>337</v>
      </c>
      <c r="AZ644" s="487" t="e">
        <f>+VLOOKUP($AJ644,Data_Validation!$A:$E,5,0)</f>
        <v>#N/A</v>
      </c>
    </row>
    <row r="645" spans="36:52" ht="15" customHeight="1">
      <c r="AJ645" s="899">
        <f t="shared" si="40"/>
        <v>0</v>
      </c>
      <c r="AK645" s="899">
        <f t="shared" si="40"/>
        <v>0</v>
      </c>
      <c r="AL645" s="905">
        <f>IFERROR(INDEX(G645:R645,1,MATCH(Parametres!$B$3,G$1:R$1,0)-1)*IF(OR(F645="L",F645="S",F645="I"),-1,1),"")</f>
        <v>0</v>
      </c>
      <c r="AM645" s="905">
        <f t="shared" si="41"/>
        <v>0</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f t="shared" si="42"/>
        <v>0</v>
      </c>
      <c r="AU645" s="488">
        <f t="shared" si="42"/>
        <v>0</v>
      </c>
      <c r="AV645" s="899">
        <f>IFERROR(INDEX(V645:AG645,1,MATCH(Parametres!$B$3,V$1:AG$1,0)-1)*IF(OR(C645="L",C645="S",C645="I"),-1,1),"")</f>
        <v>0</v>
      </c>
      <c r="AW645" s="899">
        <f t="shared" si="43"/>
        <v>0</v>
      </c>
      <c r="AX645" s="899">
        <f>INDEX(V645:AG645,1,MATCH(Parametres!$B$3,V$1:AG$1,0))*IF(OR(C645="L",C645="S",C645="I"),-1,1)</f>
        <v>0</v>
      </c>
      <c r="AY645" s="487" t="s">
        <v>337</v>
      </c>
      <c r="AZ645" s="487" t="e">
        <f>+VLOOKUP($AJ645,Data_Validation!$A:$E,5,0)</f>
        <v>#N/A</v>
      </c>
    </row>
    <row r="646" spans="36:52" ht="15" customHeight="1">
      <c r="AJ646" s="899">
        <f t="shared" si="40"/>
        <v>0</v>
      </c>
      <c r="AK646" s="899">
        <f t="shared" si="40"/>
        <v>0</v>
      </c>
      <c r="AL646" s="905">
        <f>IFERROR(INDEX(G646:R646,1,MATCH(Parametres!$B$3,G$1:R$1,0)-1)*IF(OR(F646="L",F646="S",F646="I"),-1,1),"")</f>
        <v>0</v>
      </c>
      <c r="AM646" s="905">
        <f t="shared" si="41"/>
        <v>0</v>
      </c>
      <c r="AN646" s="905">
        <f>INDEX(G646:R646,1,MATCH(Parametres!$B$3,G$1:R$1,0))*IF(OR(F646="L",F646="S",F646="I"),-1,1)</f>
        <v>0</v>
      </c>
      <c r="AO646" s="487" t="e">
        <f>+VLOOKUP($AJ646,Data_Validation!$A:$D,1,0)</f>
        <v>#N/A</v>
      </c>
      <c r="AP646" s="487" t="e">
        <f>+VLOOKUP($AJ646,Data_Validation!$A:$D,3,0)</f>
        <v>#N/A</v>
      </c>
      <c r="AQ646" s="487" t="e">
        <f>+VLOOKUP($AJ646,Data_Validation!$A:$D,4,0)</f>
        <v>#N/A</v>
      </c>
      <c r="AR646" s="487" t="s">
        <v>299</v>
      </c>
      <c r="AS646" s="487" t="e">
        <f>+VLOOKUP($AJ646,Data_Validation!$A:$E,5,0)</f>
        <v>#N/A</v>
      </c>
      <c r="AT646" s="904">
        <f t="shared" si="42"/>
        <v>0</v>
      </c>
      <c r="AU646" s="488">
        <f t="shared" si="42"/>
        <v>0</v>
      </c>
      <c r="AV646" s="899">
        <f>IFERROR(INDEX(V646:AG646,1,MATCH(Parametres!$B$3,V$1:AG$1,0)-1)*IF(OR(C646="L",C646="S",C646="I"),-1,1),"")</f>
        <v>0</v>
      </c>
      <c r="AW646" s="899">
        <f t="shared" si="43"/>
        <v>0</v>
      </c>
      <c r="AX646" s="899">
        <f>INDEX(V646:AG646,1,MATCH(Parametres!$B$3,V$1:AG$1,0))*IF(OR(C646="L",C646="S",C646="I"),-1,1)</f>
        <v>0</v>
      </c>
      <c r="AY646" s="487" t="s">
        <v>337</v>
      </c>
      <c r="AZ646" s="487" t="e">
        <f>+VLOOKUP($AJ646,Data_Validation!$A:$E,5,0)</f>
        <v>#N/A</v>
      </c>
    </row>
    <row r="647" spans="36:52" ht="15" customHeight="1">
      <c r="AJ647" s="899">
        <f t="shared" si="40"/>
        <v>0</v>
      </c>
      <c r="AK647" s="899">
        <f t="shared" si="40"/>
        <v>0</v>
      </c>
      <c r="AL647" s="905">
        <f>IFERROR(INDEX(G647:R647,1,MATCH(Parametres!$B$3,G$1:R$1,0)-1)*IF(OR(F647="L",F647="S",F647="I"),-1,1),"")</f>
        <v>0</v>
      </c>
      <c r="AM647" s="905">
        <f t="shared" si="41"/>
        <v>0</v>
      </c>
      <c r="AN647" s="905">
        <f>INDEX(G647:R647,1,MATCH(Parametres!$B$3,G$1:R$1,0))*IF(OR(F647="L",F647="S",F647="I"),-1,1)</f>
        <v>0</v>
      </c>
      <c r="AO647" s="487" t="e">
        <f>+VLOOKUP($AJ647,Data_Validation!$A:$D,1,0)</f>
        <v>#N/A</v>
      </c>
      <c r="AP647" s="487" t="e">
        <f>+VLOOKUP($AJ647,Data_Validation!$A:$D,3,0)</f>
        <v>#N/A</v>
      </c>
      <c r="AQ647" s="487" t="e">
        <f>+VLOOKUP($AJ647,Data_Validation!$A:$D,4,0)</f>
        <v>#N/A</v>
      </c>
      <c r="AR647" s="487" t="s">
        <v>299</v>
      </c>
      <c r="AS647" s="487" t="e">
        <f>+VLOOKUP($AJ647,Data_Validation!$A:$E,5,0)</f>
        <v>#N/A</v>
      </c>
      <c r="AT647" s="904">
        <f t="shared" si="42"/>
        <v>0</v>
      </c>
      <c r="AU647" s="488">
        <f t="shared" si="42"/>
        <v>0</v>
      </c>
      <c r="AV647" s="899">
        <f>IFERROR(INDEX(V647:AG647,1,MATCH(Parametres!$B$3,V$1:AG$1,0)-1)*IF(OR(C647="L",C647="S",C647="I"),-1,1),"")</f>
        <v>0</v>
      </c>
      <c r="AW647" s="899">
        <f t="shared" si="43"/>
        <v>0</v>
      </c>
      <c r="AX647" s="899">
        <f>INDEX(V647:AG647,1,MATCH(Parametres!$B$3,V$1:AG$1,0))*IF(OR(C647="L",C647="S",C647="I"),-1,1)</f>
        <v>0</v>
      </c>
      <c r="AY647" s="487" t="s">
        <v>337</v>
      </c>
      <c r="AZ647" s="487" t="e">
        <f>+VLOOKUP($AJ647,Data_Validation!$A:$E,5,0)</f>
        <v>#N/A</v>
      </c>
    </row>
    <row r="648" spans="36:52" ht="15" customHeight="1">
      <c r="AJ648" s="899">
        <f t="shared" si="40"/>
        <v>0</v>
      </c>
      <c r="AK648" s="899">
        <f t="shared" si="40"/>
        <v>0</v>
      </c>
      <c r="AL648" s="905">
        <f>IFERROR(INDEX(G648:R648,1,MATCH(Parametres!$B$3,G$1:R$1,0)-1)*IF(OR(F648="L",F648="S",F648="I"),-1,1),"")</f>
        <v>0</v>
      </c>
      <c r="AM648" s="905">
        <f t="shared" si="41"/>
        <v>0</v>
      </c>
      <c r="AN648" s="905">
        <f>INDEX(G648:R648,1,MATCH(Parametres!$B$3,G$1:R$1,0))*IF(OR(F648="L",F648="S",F648="I"),-1,1)</f>
        <v>0</v>
      </c>
      <c r="AO648" s="487" t="e">
        <f>+VLOOKUP($AJ648,Data_Validation!$A:$D,1,0)</f>
        <v>#N/A</v>
      </c>
      <c r="AP648" s="487" t="e">
        <f>+VLOOKUP($AJ648,Data_Validation!$A:$D,3,0)</f>
        <v>#N/A</v>
      </c>
      <c r="AQ648" s="487" t="e">
        <f>+VLOOKUP($AJ648,Data_Validation!$A:$D,4,0)</f>
        <v>#N/A</v>
      </c>
      <c r="AR648" s="487" t="s">
        <v>299</v>
      </c>
      <c r="AS648" s="487" t="e">
        <f>+VLOOKUP($AJ648,Data_Validation!$A:$E,5,0)</f>
        <v>#N/A</v>
      </c>
      <c r="AT648" s="904">
        <f t="shared" si="42"/>
        <v>0</v>
      </c>
      <c r="AU648" s="488">
        <f t="shared" si="42"/>
        <v>0</v>
      </c>
      <c r="AV648" s="899">
        <f>IFERROR(INDEX(V648:AG648,1,MATCH(Parametres!$B$3,V$1:AG$1,0)-1)*IF(OR(C648="L",C648="S",C648="I"),-1,1),"")</f>
        <v>0</v>
      </c>
      <c r="AW648" s="899">
        <f t="shared" si="43"/>
        <v>0</v>
      </c>
      <c r="AX648" s="899">
        <f>INDEX(V648:AG648,1,MATCH(Parametres!$B$3,V$1:AG$1,0))*IF(OR(C648="L",C648="S",C648="I"),-1,1)</f>
        <v>0</v>
      </c>
      <c r="AY648" s="487" t="s">
        <v>337</v>
      </c>
      <c r="AZ648" s="487" t="e">
        <f>+VLOOKUP($AJ648,Data_Validation!$A:$E,5,0)</f>
        <v>#N/A</v>
      </c>
    </row>
    <row r="649" spans="36:52" ht="15" customHeight="1">
      <c r="AJ649" s="899">
        <f t="shared" si="40"/>
        <v>0</v>
      </c>
      <c r="AK649" s="899">
        <f t="shared" si="40"/>
        <v>0</v>
      </c>
      <c r="AL649" s="905">
        <f>IFERROR(INDEX(G649:R649,1,MATCH(Parametres!$B$3,G$1:R$1,0)-1)*IF(OR(F649="L",F649="S",F649="I"),-1,1),"")</f>
        <v>0</v>
      </c>
      <c r="AM649" s="905">
        <f t="shared" si="41"/>
        <v>0</v>
      </c>
      <c r="AN649" s="905">
        <f>INDEX(G649:R649,1,MATCH(Parametres!$B$3,G$1:R$1,0))*IF(OR(F649="L",F649="S",F649="I"),-1,1)</f>
        <v>0</v>
      </c>
      <c r="AO649" s="487" t="e">
        <f>+VLOOKUP($AJ649,Data_Validation!$A:$D,1,0)</f>
        <v>#N/A</v>
      </c>
      <c r="AP649" s="487" t="e">
        <f>+VLOOKUP($AJ649,Data_Validation!$A:$D,3,0)</f>
        <v>#N/A</v>
      </c>
      <c r="AQ649" s="487" t="e">
        <f>+VLOOKUP($AJ649,Data_Validation!$A:$D,4,0)</f>
        <v>#N/A</v>
      </c>
      <c r="AR649" s="487" t="s">
        <v>299</v>
      </c>
      <c r="AS649" s="487" t="e">
        <f>+VLOOKUP($AJ649,Data_Validation!$A:$E,5,0)</f>
        <v>#N/A</v>
      </c>
      <c r="AT649" s="904">
        <f t="shared" si="42"/>
        <v>0</v>
      </c>
      <c r="AU649" s="488">
        <f t="shared" si="42"/>
        <v>0</v>
      </c>
      <c r="AV649" s="899">
        <f>IFERROR(INDEX(V649:AG649,1,MATCH(Parametres!$B$3,V$1:AG$1,0)-1)*IF(OR(C649="L",C649="S",C649="I"),-1,1),"")</f>
        <v>0</v>
      </c>
      <c r="AW649" s="899">
        <f t="shared" si="43"/>
        <v>0</v>
      </c>
      <c r="AX649" s="899">
        <f>INDEX(V649:AG649,1,MATCH(Parametres!$B$3,V$1:AG$1,0))*IF(OR(C649="L",C649="S",C649="I"),-1,1)</f>
        <v>0</v>
      </c>
      <c r="AY649" s="487" t="s">
        <v>337</v>
      </c>
      <c r="AZ649" s="487" t="e">
        <f>+VLOOKUP($AJ649,Data_Validation!$A:$E,5,0)</f>
        <v>#N/A</v>
      </c>
    </row>
    <row r="650" spans="36:52" ht="15" customHeight="1">
      <c r="AJ650" s="899">
        <f t="shared" si="40"/>
        <v>0</v>
      </c>
      <c r="AK650" s="899">
        <f t="shared" si="40"/>
        <v>0</v>
      </c>
      <c r="AL650" s="905">
        <f>IFERROR(INDEX(G650:R650,1,MATCH(Parametres!$B$3,G$1:R$1,0)-1)*IF(OR(F650="L",F650="S",F650="I"),-1,1),"")</f>
        <v>0</v>
      </c>
      <c r="AM650" s="905">
        <f t="shared" si="41"/>
        <v>0</v>
      </c>
      <c r="AN650" s="905">
        <f>INDEX(G650:R650,1,MATCH(Parametres!$B$3,G$1:R$1,0))*IF(OR(F650="L",F650="S",F650="I"),-1,1)</f>
        <v>0</v>
      </c>
      <c r="AO650" s="487" t="e">
        <f>+VLOOKUP($AJ650,Data_Validation!$A:$D,1,0)</f>
        <v>#N/A</v>
      </c>
      <c r="AP650" s="487" t="e">
        <f>+VLOOKUP($AJ650,Data_Validation!$A:$D,3,0)</f>
        <v>#N/A</v>
      </c>
      <c r="AQ650" s="487" t="e">
        <f>+VLOOKUP($AJ650,Data_Validation!$A:$D,4,0)</f>
        <v>#N/A</v>
      </c>
      <c r="AR650" s="487" t="s">
        <v>299</v>
      </c>
      <c r="AS650" s="487" t="e">
        <f>+VLOOKUP($AJ650,Data_Validation!$A:$E,5,0)</f>
        <v>#N/A</v>
      </c>
      <c r="AT650" s="904">
        <f t="shared" si="42"/>
        <v>0</v>
      </c>
      <c r="AU650" s="488">
        <f t="shared" si="42"/>
        <v>0</v>
      </c>
      <c r="AV650" s="899">
        <f>IFERROR(INDEX(V650:AG650,1,MATCH(Parametres!$B$3,V$1:AG$1,0)-1)*IF(OR(C650="L",C650="S",C650="I"),-1,1),"")</f>
        <v>0</v>
      </c>
      <c r="AW650" s="899">
        <f t="shared" si="43"/>
        <v>0</v>
      </c>
      <c r="AX650" s="899">
        <f>INDEX(V650:AG650,1,MATCH(Parametres!$B$3,V$1:AG$1,0))*IF(OR(C650="L",C650="S",C650="I"),-1,1)</f>
        <v>0</v>
      </c>
      <c r="AY650" s="487" t="s">
        <v>337</v>
      </c>
      <c r="AZ650" s="487" t="e">
        <f>+VLOOKUP($AJ650,Data_Validation!$A:$E,5,0)</f>
        <v>#N/A</v>
      </c>
    </row>
    <row r="651" spans="36:52" ht="15" customHeight="1">
      <c r="AJ651" s="899">
        <f t="shared" si="40"/>
        <v>0</v>
      </c>
      <c r="AK651" s="899">
        <f t="shared" si="40"/>
        <v>0</v>
      </c>
      <c r="AL651" s="905">
        <f>IFERROR(INDEX(G651:R651,1,MATCH(Parametres!$B$3,G$1:R$1,0)-1)*IF(OR(F651="L",F651="S",F651="I"),-1,1),"")</f>
        <v>0</v>
      </c>
      <c r="AM651" s="905">
        <f t="shared" si="41"/>
        <v>0</v>
      </c>
      <c r="AN651" s="905">
        <f>INDEX(G651:R651,1,MATCH(Parametres!$B$3,G$1:R$1,0))*IF(OR(F651="L",F651="S",F651="I"),-1,1)</f>
        <v>0</v>
      </c>
      <c r="AO651" s="487" t="e">
        <f>+VLOOKUP($AJ651,Data_Validation!$A:$D,1,0)</f>
        <v>#N/A</v>
      </c>
      <c r="AP651" s="487" t="e">
        <f>+VLOOKUP($AJ651,Data_Validation!$A:$D,3,0)</f>
        <v>#N/A</v>
      </c>
      <c r="AQ651" s="487" t="e">
        <f>+VLOOKUP($AJ651,Data_Validation!$A:$D,4,0)</f>
        <v>#N/A</v>
      </c>
      <c r="AR651" s="487" t="s">
        <v>299</v>
      </c>
      <c r="AS651" s="487" t="e">
        <f>+VLOOKUP($AJ651,Data_Validation!$A:$E,5,0)</f>
        <v>#N/A</v>
      </c>
      <c r="AT651" s="904">
        <f t="shared" si="42"/>
        <v>0</v>
      </c>
      <c r="AU651" s="488">
        <f t="shared" si="42"/>
        <v>0</v>
      </c>
      <c r="AV651" s="899">
        <f>IFERROR(INDEX(V651:AG651,1,MATCH(Parametres!$B$3,V$1:AG$1,0)-1)*IF(OR(C651="L",C651="S",C651="I"),-1,1),"")</f>
        <v>0</v>
      </c>
      <c r="AW651" s="899">
        <f t="shared" si="43"/>
        <v>0</v>
      </c>
      <c r="AX651" s="899">
        <f>INDEX(V651:AG651,1,MATCH(Parametres!$B$3,V$1:AG$1,0))*IF(OR(C651="L",C651="S",C651="I"),-1,1)</f>
        <v>0</v>
      </c>
      <c r="AY651" s="487" t="s">
        <v>337</v>
      </c>
      <c r="AZ651" s="487" t="e">
        <f>+VLOOKUP($AJ651,Data_Validation!$A:$E,5,0)</f>
        <v>#N/A</v>
      </c>
    </row>
    <row r="652" spans="36:52" ht="15" customHeight="1">
      <c r="AJ652" s="899">
        <f t="shared" si="40"/>
        <v>0</v>
      </c>
      <c r="AK652" s="899">
        <f t="shared" si="40"/>
        <v>0</v>
      </c>
      <c r="AL652" s="905">
        <f>IFERROR(INDEX(G652:R652,1,MATCH(Parametres!$B$3,G$1:R$1,0)-1)*IF(OR(F652="L",F652="S",F652="I"),-1,1),"")</f>
        <v>0</v>
      </c>
      <c r="AM652" s="905">
        <f t="shared" si="41"/>
        <v>0</v>
      </c>
      <c r="AN652" s="905">
        <f>INDEX(G652:R652,1,MATCH(Parametres!$B$3,G$1:R$1,0))*IF(OR(F652="L",F652="S",F652="I"),-1,1)</f>
        <v>0</v>
      </c>
      <c r="AO652" s="487" t="e">
        <f>+VLOOKUP($AJ652,Data_Validation!$A:$D,1,0)</f>
        <v>#N/A</v>
      </c>
      <c r="AP652" s="487" t="e">
        <f>+VLOOKUP($AJ652,Data_Validation!$A:$D,3,0)</f>
        <v>#N/A</v>
      </c>
      <c r="AQ652" s="487" t="e">
        <f>+VLOOKUP($AJ652,Data_Validation!$A:$D,4,0)</f>
        <v>#N/A</v>
      </c>
      <c r="AR652" s="487" t="s">
        <v>299</v>
      </c>
      <c r="AS652" s="487" t="e">
        <f>+VLOOKUP($AJ652,Data_Validation!$A:$E,5,0)</f>
        <v>#N/A</v>
      </c>
      <c r="AT652" s="904">
        <f t="shared" si="42"/>
        <v>0</v>
      </c>
      <c r="AU652" s="488">
        <f t="shared" si="42"/>
        <v>0</v>
      </c>
      <c r="AV652" s="899">
        <f>IFERROR(INDEX(V652:AG652,1,MATCH(Parametres!$B$3,V$1:AG$1,0)-1)*IF(OR(C652="L",C652="S",C652="I"),-1,1),"")</f>
        <v>0</v>
      </c>
      <c r="AW652" s="899">
        <f t="shared" si="43"/>
        <v>0</v>
      </c>
      <c r="AX652" s="899">
        <f>INDEX(V652:AG652,1,MATCH(Parametres!$B$3,V$1:AG$1,0))*IF(OR(C652="L",C652="S",C652="I"),-1,1)</f>
        <v>0</v>
      </c>
      <c r="AY652" s="487" t="s">
        <v>337</v>
      </c>
      <c r="AZ652" s="487" t="e">
        <f>+VLOOKUP($AJ652,Data_Validation!$A:$E,5,0)</f>
        <v>#N/A</v>
      </c>
    </row>
    <row r="653" spans="36:52" ht="15" customHeight="1">
      <c r="AJ653" s="899">
        <f t="shared" si="40"/>
        <v>0</v>
      </c>
      <c r="AK653" s="899">
        <f t="shared" si="40"/>
        <v>0</v>
      </c>
      <c r="AL653" s="905">
        <f>IFERROR(INDEX(G653:R653,1,MATCH(Parametres!$B$3,G$1:R$1,0)-1)*IF(OR(F653="L",F653="S",F653="I"),-1,1),"")</f>
        <v>0</v>
      </c>
      <c r="AM653" s="905">
        <f t="shared" si="41"/>
        <v>0</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f t="shared" si="42"/>
        <v>0</v>
      </c>
      <c r="AU653" s="488">
        <f t="shared" si="42"/>
        <v>0</v>
      </c>
      <c r="AV653" s="899">
        <f>IFERROR(INDEX(V653:AG653,1,MATCH(Parametres!$B$3,V$1:AG$1,0)-1)*IF(OR(C653="L",C653="S",C653="I"),-1,1),"")</f>
        <v>0</v>
      </c>
      <c r="AW653" s="899">
        <f t="shared" si="43"/>
        <v>0</v>
      </c>
      <c r="AX653" s="899">
        <f>INDEX(V653:AG653,1,MATCH(Parametres!$B$3,V$1:AG$1,0))*IF(OR(C653="L",C653="S",C653="I"),-1,1)</f>
        <v>0</v>
      </c>
      <c r="AY653" s="487" t="s">
        <v>337</v>
      </c>
      <c r="AZ653" s="487" t="e">
        <f>+VLOOKUP($AJ653,Data_Validation!$A:$E,5,0)</f>
        <v>#N/A</v>
      </c>
    </row>
    <row r="654" spans="36:52" ht="15" customHeight="1">
      <c r="AJ654" s="899">
        <f t="shared" si="40"/>
        <v>0</v>
      </c>
      <c r="AK654" s="899">
        <f t="shared" si="40"/>
        <v>0</v>
      </c>
      <c r="AL654" s="905">
        <f>IFERROR(INDEX(G654:R654,1,MATCH(Parametres!$B$3,G$1:R$1,0)-1)*IF(OR(F654="L",F654="S",F654="I"),-1,1),"")</f>
        <v>0</v>
      </c>
      <c r="AM654" s="905">
        <f t="shared" si="41"/>
        <v>0</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f t="shared" si="42"/>
        <v>0</v>
      </c>
      <c r="AU654" s="488">
        <f t="shared" si="42"/>
        <v>0</v>
      </c>
      <c r="AV654" s="899">
        <f>IFERROR(INDEX(V654:AG654,1,MATCH(Parametres!$B$3,V$1:AG$1,0)-1)*IF(OR(C654="L",C654="S",C654="I"),-1,1),"")</f>
        <v>0</v>
      </c>
      <c r="AW654" s="899">
        <f t="shared" si="43"/>
        <v>0</v>
      </c>
      <c r="AX654" s="899">
        <f>INDEX(V654:AG654,1,MATCH(Parametres!$B$3,V$1:AG$1,0))*IF(OR(C654="L",C654="S",C654="I"),-1,1)</f>
        <v>0</v>
      </c>
      <c r="AY654" s="487" t="s">
        <v>337</v>
      </c>
      <c r="AZ654" s="487" t="e">
        <f>+VLOOKUP($AJ654,Data_Validation!$A:$E,5,0)</f>
        <v>#N/A</v>
      </c>
    </row>
    <row r="655" spans="36:52" ht="15" customHeight="1">
      <c r="AJ655" s="899">
        <f t="shared" si="40"/>
        <v>0</v>
      </c>
      <c r="AK655" s="899">
        <f t="shared" si="40"/>
        <v>0</v>
      </c>
      <c r="AL655" s="905">
        <f>IFERROR(INDEX(G655:R655,1,MATCH(Parametres!$B$3,G$1:R$1,0)-1)*IF(OR(F655="L",F655="S",F655="I"),-1,1),"")</f>
        <v>0</v>
      </c>
      <c r="AM655" s="905">
        <f t="shared" si="41"/>
        <v>0</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f t="shared" si="42"/>
        <v>0</v>
      </c>
      <c r="AU655" s="488">
        <f t="shared" si="42"/>
        <v>0</v>
      </c>
      <c r="AV655" s="899">
        <f>IFERROR(INDEX(V655:AG655,1,MATCH(Parametres!$B$3,V$1:AG$1,0)-1)*IF(OR(C655="L",C655="S",C655="I"),-1,1),"")</f>
        <v>0</v>
      </c>
      <c r="AW655" s="899">
        <f t="shared" si="43"/>
        <v>0</v>
      </c>
      <c r="AX655" s="899">
        <f>INDEX(V655:AG655,1,MATCH(Parametres!$B$3,V$1:AG$1,0))*IF(OR(C655="L",C655="S",C655="I"),-1,1)</f>
        <v>0</v>
      </c>
      <c r="AY655" s="487" t="s">
        <v>337</v>
      </c>
      <c r="AZ655" s="487" t="e">
        <f>+VLOOKUP($AJ655,Data_Validation!$A:$E,5,0)</f>
        <v>#N/A</v>
      </c>
    </row>
    <row r="656" spans="36:52" ht="15" customHeight="1">
      <c r="AJ656" s="899">
        <f t="shared" si="40"/>
        <v>0</v>
      </c>
      <c r="AK656" s="899">
        <f t="shared" si="40"/>
        <v>0</v>
      </c>
      <c r="AL656" s="905">
        <f>IFERROR(INDEX(G656:R656,1,MATCH(Parametres!$B$3,G$1:R$1,0)-1)*IF(OR(F656="L",F656="S",F656="I"),-1,1),"")</f>
        <v>0</v>
      </c>
      <c r="AM656" s="905">
        <f t="shared" si="41"/>
        <v>0</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f t="shared" si="42"/>
        <v>0</v>
      </c>
      <c r="AU656" s="488">
        <f t="shared" si="42"/>
        <v>0</v>
      </c>
      <c r="AV656" s="899">
        <f>IFERROR(INDEX(V656:AG656,1,MATCH(Parametres!$B$3,V$1:AG$1,0)-1)*IF(OR(C656="L",C656="S",C656="I"),-1,1),"")</f>
        <v>0</v>
      </c>
      <c r="AW656" s="899">
        <f t="shared" si="43"/>
        <v>0</v>
      </c>
      <c r="AX656" s="899">
        <f>INDEX(V656:AG656,1,MATCH(Parametres!$B$3,V$1:AG$1,0))*IF(OR(C656="L",C656="S",C656="I"),-1,1)</f>
        <v>0</v>
      </c>
      <c r="AY656" s="487" t="s">
        <v>337</v>
      </c>
      <c r="AZ656" s="487" t="e">
        <f>+VLOOKUP($AJ656,Data_Validation!$A:$E,5,0)</f>
        <v>#N/A</v>
      </c>
    </row>
    <row r="657" spans="36:52" ht="15" customHeight="1">
      <c r="AJ657" s="899">
        <f t="shared" si="40"/>
        <v>0</v>
      </c>
      <c r="AK657" s="899">
        <f t="shared" si="40"/>
        <v>0</v>
      </c>
      <c r="AL657" s="905">
        <f>IFERROR(INDEX(G657:R657,1,MATCH(Parametres!$B$3,G$1:R$1,0)-1)*IF(OR(F657="L",F657="S",F657="I"),-1,1),"")</f>
        <v>0</v>
      </c>
      <c r="AM657" s="905">
        <f t="shared" si="41"/>
        <v>0</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f t="shared" si="42"/>
        <v>0</v>
      </c>
      <c r="AU657" s="488">
        <f t="shared" si="42"/>
        <v>0</v>
      </c>
      <c r="AV657" s="899">
        <f>IFERROR(INDEX(V657:AG657,1,MATCH(Parametres!$B$3,V$1:AG$1,0)-1)*IF(OR(C657="L",C657="S",C657="I"),-1,1),"")</f>
        <v>0</v>
      </c>
      <c r="AW657" s="899">
        <f t="shared" si="43"/>
        <v>0</v>
      </c>
      <c r="AX657" s="899">
        <f>INDEX(V657:AG657,1,MATCH(Parametres!$B$3,V$1:AG$1,0))*IF(OR(C657="L",C657="S",C657="I"),-1,1)</f>
        <v>0</v>
      </c>
      <c r="AY657" s="487" t="s">
        <v>337</v>
      </c>
      <c r="AZ657" s="487" t="e">
        <f>+VLOOKUP($AJ657,Data_Validation!$A:$E,5,0)</f>
        <v>#N/A</v>
      </c>
    </row>
    <row r="658" spans="36:52" ht="15" customHeight="1">
      <c r="AJ658" s="899">
        <f t="shared" si="40"/>
        <v>0</v>
      </c>
      <c r="AK658" s="899">
        <f t="shared" si="40"/>
        <v>0</v>
      </c>
      <c r="AL658" s="905">
        <f>IFERROR(INDEX(G658:R658,1,MATCH(Parametres!$B$3,G$1:R$1,0)-1)*IF(OR(F658="L",F658="S",F658="I"),-1,1),"")</f>
        <v>0</v>
      </c>
      <c r="AM658" s="905">
        <f t="shared" si="41"/>
        <v>0</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f t="shared" si="42"/>
        <v>0</v>
      </c>
      <c r="AU658" s="488">
        <f t="shared" si="42"/>
        <v>0</v>
      </c>
      <c r="AV658" s="899">
        <f>IFERROR(INDEX(V658:AG658,1,MATCH(Parametres!$B$3,V$1:AG$1,0)-1)*IF(OR(C658="L",C658="S",C658="I"),-1,1),"")</f>
        <v>0</v>
      </c>
      <c r="AW658" s="899">
        <f t="shared" si="43"/>
        <v>0</v>
      </c>
      <c r="AX658" s="899">
        <f>INDEX(V658:AG658,1,MATCH(Parametres!$B$3,V$1:AG$1,0))*IF(OR(C658="L",C658="S",C658="I"),-1,1)</f>
        <v>0</v>
      </c>
      <c r="AY658" s="487" t="s">
        <v>337</v>
      </c>
      <c r="AZ658" s="487" t="e">
        <f>+VLOOKUP($AJ658,Data_Validation!$A:$E,5,0)</f>
        <v>#N/A</v>
      </c>
    </row>
    <row r="659" spans="36:52" ht="15" customHeight="1">
      <c r="AJ659" s="899">
        <f t="shared" si="40"/>
        <v>0</v>
      </c>
      <c r="AK659" s="899">
        <f t="shared" si="40"/>
        <v>0</v>
      </c>
      <c r="AL659" s="905">
        <f>IFERROR(INDEX(G659:R659,1,MATCH(Parametres!$B$3,G$1:R$1,0)-1)*IF(OR(F659="L",F659="S",F659="I"),-1,1),"")</f>
        <v>0</v>
      </c>
      <c r="AM659" s="905">
        <f t="shared" si="41"/>
        <v>0</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f t="shared" si="42"/>
        <v>0</v>
      </c>
      <c r="AU659" s="488">
        <f t="shared" si="42"/>
        <v>0</v>
      </c>
      <c r="AV659" s="899">
        <f>IFERROR(INDEX(V659:AG659,1,MATCH(Parametres!$B$3,V$1:AG$1,0)-1)*IF(OR(C659="L",C659="S",C659="I"),-1,1),"")</f>
        <v>0</v>
      </c>
      <c r="AW659" s="899">
        <f t="shared" si="43"/>
        <v>0</v>
      </c>
      <c r="AX659" s="899">
        <f>INDEX(V659:AG659,1,MATCH(Parametres!$B$3,V$1:AG$1,0))*IF(OR(C659="L",C659="S",C659="I"),-1,1)</f>
        <v>0</v>
      </c>
      <c r="AY659" s="487" t="s">
        <v>337</v>
      </c>
      <c r="AZ659" s="487" t="e">
        <f>+VLOOKUP($AJ659,Data_Validation!$A:$E,5,0)</f>
        <v>#N/A</v>
      </c>
    </row>
    <row r="660" spans="36:52" ht="15" customHeight="1">
      <c r="AJ660" s="899">
        <f t="shared" ref="AJ660:AK723" si="44">C660</f>
        <v>0</v>
      </c>
      <c r="AK660" s="899">
        <f t="shared" si="44"/>
        <v>0</v>
      </c>
      <c r="AL660" s="905">
        <f>IFERROR(INDEX(G660:R660,1,MATCH(Parametres!$B$3,G$1:R$1,0)-1)*IF(OR(F660="L",F660="S",F660="I"),-1,1),"")</f>
        <v>0</v>
      </c>
      <c r="AM660" s="905">
        <f t="shared" si="41"/>
        <v>0</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f t="shared" si="42"/>
        <v>0</v>
      </c>
      <c r="AU660" s="488">
        <f t="shared" si="42"/>
        <v>0</v>
      </c>
      <c r="AV660" s="899">
        <f>IFERROR(INDEX(V660:AG660,1,MATCH(Parametres!$B$3,V$1:AG$1,0)-1)*IF(OR(C660="L",C660="S",C660="I"),-1,1),"")</f>
        <v>0</v>
      </c>
      <c r="AW660" s="899">
        <f t="shared" si="43"/>
        <v>0</v>
      </c>
      <c r="AX660" s="899">
        <f>INDEX(V660:AG660,1,MATCH(Parametres!$B$3,V$1:AG$1,0))*IF(OR(C660="L",C660="S",C660="I"),-1,1)</f>
        <v>0</v>
      </c>
      <c r="AY660" s="487" t="s">
        <v>337</v>
      </c>
      <c r="AZ660" s="487" t="e">
        <f>+VLOOKUP($AJ660,Data_Validation!$A:$E,5,0)</f>
        <v>#N/A</v>
      </c>
    </row>
    <row r="661" spans="36:52" ht="15" customHeight="1">
      <c r="AJ661" s="899">
        <f t="shared" si="44"/>
        <v>0</v>
      </c>
      <c r="AK661" s="899">
        <f t="shared" si="44"/>
        <v>0</v>
      </c>
      <c r="AL661" s="905">
        <f>IFERROR(INDEX(G661:R661,1,MATCH(Parametres!$B$3,G$1:R$1,0)-1)*IF(OR(F661="L",F661="S",F661="I"),-1,1),"")</f>
        <v>0</v>
      </c>
      <c r="AM661" s="905">
        <f t="shared" si="41"/>
        <v>0</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f t="shared" si="42"/>
        <v>0</v>
      </c>
      <c r="AU661" s="488">
        <f t="shared" si="42"/>
        <v>0</v>
      </c>
      <c r="AV661" s="899">
        <f>IFERROR(INDEX(V661:AG661,1,MATCH(Parametres!$B$3,V$1:AG$1,0)-1)*IF(OR(C661="L",C661="S",C661="I"),-1,1),"")</f>
        <v>0</v>
      </c>
      <c r="AW661" s="899">
        <f t="shared" si="43"/>
        <v>0</v>
      </c>
      <c r="AX661" s="899">
        <f>INDEX(V661:AG661,1,MATCH(Parametres!$B$3,V$1:AG$1,0))*IF(OR(C661="L",C661="S",C661="I"),-1,1)</f>
        <v>0</v>
      </c>
      <c r="AY661" s="487" t="s">
        <v>337</v>
      </c>
      <c r="AZ661" s="487" t="e">
        <f>+VLOOKUP($AJ661,Data_Validation!$A:$E,5,0)</f>
        <v>#N/A</v>
      </c>
    </row>
    <row r="662" spans="36:52" ht="15" customHeight="1">
      <c r="AJ662" s="899">
        <f t="shared" si="44"/>
        <v>0</v>
      </c>
      <c r="AK662" s="899">
        <f t="shared" si="44"/>
        <v>0</v>
      </c>
      <c r="AL662" s="905">
        <f>IFERROR(INDEX(G662:R662,1,MATCH(Parametres!$B$3,G$1:R$1,0)-1)*IF(OR(F662="L",F662="S",F662="I"),-1,1),"")</f>
        <v>0</v>
      </c>
      <c r="AM662" s="905">
        <f t="shared" si="41"/>
        <v>0</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f t="shared" si="42"/>
        <v>0</v>
      </c>
      <c r="AU662" s="488">
        <f t="shared" si="42"/>
        <v>0</v>
      </c>
      <c r="AV662" s="899">
        <f>IFERROR(INDEX(V662:AG662,1,MATCH(Parametres!$B$3,V$1:AG$1,0)-1)*IF(OR(C662="L",C662="S",C662="I"),-1,1),"")</f>
        <v>0</v>
      </c>
      <c r="AW662" s="899">
        <f t="shared" si="43"/>
        <v>0</v>
      </c>
      <c r="AX662" s="899">
        <f>INDEX(V662:AG662,1,MATCH(Parametres!$B$3,V$1:AG$1,0))*IF(OR(C662="L",C662="S",C662="I"),-1,1)</f>
        <v>0</v>
      </c>
      <c r="AY662" s="487" t="s">
        <v>337</v>
      </c>
      <c r="AZ662" s="487" t="e">
        <f>+VLOOKUP($AJ662,Data_Validation!$A:$E,5,0)</f>
        <v>#N/A</v>
      </c>
    </row>
    <row r="663" spans="36:52" ht="15" customHeight="1">
      <c r="AJ663" s="899">
        <f t="shared" si="44"/>
        <v>0</v>
      </c>
      <c r="AK663" s="899">
        <f t="shared" si="44"/>
        <v>0</v>
      </c>
      <c r="AL663" s="905">
        <f>IFERROR(INDEX(G663:R663,1,MATCH(Parametres!$B$3,G$1:R$1,0)-1)*IF(OR(F663="L",F663="S",F663="I"),-1,1),"")</f>
        <v>0</v>
      </c>
      <c r="AM663" s="905">
        <f t="shared" si="41"/>
        <v>0</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f t="shared" si="42"/>
        <v>0</v>
      </c>
      <c r="AU663" s="488">
        <f t="shared" si="42"/>
        <v>0</v>
      </c>
      <c r="AV663" s="899">
        <f>IFERROR(INDEX(V663:AG663,1,MATCH(Parametres!$B$3,V$1:AG$1,0)-1)*IF(OR(C663="L",C663="S",C663="I"),-1,1),"")</f>
        <v>0</v>
      </c>
      <c r="AW663" s="899">
        <f t="shared" si="43"/>
        <v>0</v>
      </c>
      <c r="AX663" s="899">
        <f>INDEX(V663:AG663,1,MATCH(Parametres!$B$3,V$1:AG$1,0))*IF(OR(C663="L",C663="S",C663="I"),-1,1)</f>
        <v>0</v>
      </c>
      <c r="AY663" s="487" t="s">
        <v>337</v>
      </c>
      <c r="AZ663" s="487" t="e">
        <f>+VLOOKUP($AJ663,Data_Validation!$A:$E,5,0)</f>
        <v>#N/A</v>
      </c>
    </row>
    <row r="664" spans="36:52" ht="15" customHeight="1">
      <c r="AJ664" s="899">
        <f t="shared" si="44"/>
        <v>0</v>
      </c>
      <c r="AK664" s="899">
        <f t="shared" si="44"/>
        <v>0</v>
      </c>
      <c r="AL664" s="905">
        <f>IFERROR(INDEX(G664:R664,1,MATCH(Parametres!$B$3,G$1:R$1,0)-1)*IF(OR(F664="L",F664="S",F664="I"),-1,1),"")</f>
        <v>0</v>
      </c>
      <c r="AM664" s="905">
        <f t="shared" si="41"/>
        <v>0</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f t="shared" si="42"/>
        <v>0</v>
      </c>
      <c r="AU664" s="488">
        <f t="shared" si="42"/>
        <v>0</v>
      </c>
      <c r="AV664" s="899">
        <f>IFERROR(INDEX(V664:AG664,1,MATCH(Parametres!$B$3,V$1:AG$1,0)-1)*IF(OR(C664="L",C664="S",C664="I"),-1,1),"")</f>
        <v>0</v>
      </c>
      <c r="AW664" s="899">
        <f t="shared" si="43"/>
        <v>0</v>
      </c>
      <c r="AX664" s="899">
        <f>INDEX(V664:AG664,1,MATCH(Parametres!$B$3,V$1:AG$1,0))*IF(OR(C664="L",C664="S",C664="I"),-1,1)</f>
        <v>0</v>
      </c>
      <c r="AY664" s="487" t="s">
        <v>337</v>
      </c>
      <c r="AZ664" s="487" t="e">
        <f>+VLOOKUP($AJ664,Data_Validation!$A:$E,5,0)</f>
        <v>#N/A</v>
      </c>
    </row>
    <row r="665" spans="36:52" ht="15" customHeight="1">
      <c r="AJ665" s="899">
        <f t="shared" si="44"/>
        <v>0</v>
      </c>
      <c r="AK665" s="899">
        <f t="shared" si="44"/>
        <v>0</v>
      </c>
      <c r="AL665" s="905">
        <f>IFERROR(INDEX(G665:R665,1,MATCH(Parametres!$B$3,G$1:R$1,0)-1)*IF(OR(F665="L",F665="S",F665="I"),-1,1),"")</f>
        <v>0</v>
      </c>
      <c r="AM665" s="905">
        <f t="shared" si="41"/>
        <v>0</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f t="shared" si="42"/>
        <v>0</v>
      </c>
      <c r="AU665" s="488">
        <f t="shared" si="42"/>
        <v>0</v>
      </c>
      <c r="AV665" s="899">
        <f>IFERROR(INDEX(V665:AG665,1,MATCH(Parametres!$B$3,V$1:AG$1,0)-1)*IF(OR(C665="L",C665="S",C665="I"),-1,1),"")</f>
        <v>0</v>
      </c>
      <c r="AW665" s="899">
        <f t="shared" si="43"/>
        <v>0</v>
      </c>
      <c r="AX665" s="899">
        <f>INDEX(V665:AG665,1,MATCH(Parametres!$B$3,V$1:AG$1,0))*IF(OR(C665="L",C665="S",C665="I"),-1,1)</f>
        <v>0</v>
      </c>
      <c r="AY665" s="487" t="s">
        <v>337</v>
      </c>
      <c r="AZ665" s="487" t="e">
        <f>+VLOOKUP($AJ665,Data_Validation!$A:$E,5,0)</f>
        <v>#N/A</v>
      </c>
    </row>
    <row r="666" spans="36:52" ht="15" customHeight="1">
      <c r="AJ666" s="899">
        <f t="shared" si="44"/>
        <v>0</v>
      </c>
      <c r="AK666" s="899">
        <f t="shared" si="44"/>
        <v>0</v>
      </c>
      <c r="AL666" s="905">
        <f>IFERROR(INDEX(G666:R666,1,MATCH(Parametres!$B$3,G$1:R$1,0)-1)*IF(OR(F666="L",F666="S",F666="I"),-1,1),"")</f>
        <v>0</v>
      </c>
      <c r="AM666" s="905">
        <f t="shared" si="41"/>
        <v>0</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f t="shared" si="42"/>
        <v>0</v>
      </c>
      <c r="AU666" s="488">
        <f t="shared" si="42"/>
        <v>0</v>
      </c>
      <c r="AV666" s="899">
        <f>IFERROR(INDEX(V666:AG666,1,MATCH(Parametres!$B$3,V$1:AG$1,0)-1)*IF(OR(C666="L",C666="S",C666="I"),-1,1),"")</f>
        <v>0</v>
      </c>
      <c r="AW666" s="899">
        <f t="shared" si="43"/>
        <v>0</v>
      </c>
      <c r="AX666" s="899">
        <f>INDEX(V666:AG666,1,MATCH(Parametres!$B$3,V$1:AG$1,0))*IF(OR(C666="L",C666="S",C666="I"),-1,1)</f>
        <v>0</v>
      </c>
      <c r="AY666" s="487" t="s">
        <v>337</v>
      </c>
      <c r="AZ666" s="487" t="e">
        <f>+VLOOKUP($AJ666,Data_Validation!$A:$E,5,0)</f>
        <v>#N/A</v>
      </c>
    </row>
    <row r="667" spans="36:52" ht="15" customHeight="1">
      <c r="AJ667" s="899">
        <f t="shared" si="44"/>
        <v>0</v>
      </c>
      <c r="AK667" s="899">
        <f t="shared" si="44"/>
        <v>0</v>
      </c>
      <c r="AL667" s="905">
        <f>IFERROR(INDEX(G667:R667,1,MATCH(Parametres!$B$3,G$1:R$1,0)-1)*IF(OR(F667="L",F667="S",F667="I"),-1,1),"")</f>
        <v>0</v>
      </c>
      <c r="AM667" s="905">
        <f t="shared" si="41"/>
        <v>0</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f t="shared" si="42"/>
        <v>0</v>
      </c>
      <c r="AU667" s="488">
        <f t="shared" si="42"/>
        <v>0</v>
      </c>
      <c r="AV667" s="899">
        <f>IFERROR(INDEX(V667:AG667,1,MATCH(Parametres!$B$3,V$1:AG$1,0)-1)*IF(OR(C667="L",C667="S",C667="I"),-1,1),"")</f>
        <v>0</v>
      </c>
      <c r="AW667" s="899">
        <f t="shared" si="43"/>
        <v>0</v>
      </c>
      <c r="AX667" s="899">
        <f>INDEX(V667:AG667,1,MATCH(Parametres!$B$3,V$1:AG$1,0))*IF(OR(C667="L",C667="S",C667="I"),-1,1)</f>
        <v>0</v>
      </c>
      <c r="AY667" s="487" t="s">
        <v>337</v>
      </c>
      <c r="AZ667" s="487" t="e">
        <f>+VLOOKUP($AJ667,Data_Validation!$A:$E,5,0)</f>
        <v>#N/A</v>
      </c>
    </row>
    <row r="668" spans="36:52" ht="15" customHeight="1">
      <c r="AJ668" s="899">
        <f t="shared" si="44"/>
        <v>0</v>
      </c>
      <c r="AK668" s="899">
        <f t="shared" si="44"/>
        <v>0</v>
      </c>
      <c r="AL668" s="905">
        <f>IFERROR(INDEX(G668:R668,1,MATCH(Parametres!$B$3,G$1:R$1,0)-1)*IF(OR(F668="L",F668="S",F668="I"),-1,1),"")</f>
        <v>0</v>
      </c>
      <c r="AM668" s="905">
        <f t="shared" si="41"/>
        <v>0</v>
      </c>
      <c r="AN668" s="905">
        <f>INDEX(G668:R668,1,MATCH(Parametres!$B$3,G$1:R$1,0))*IF(OR(F668="L",F668="S",F668="I"),-1,1)</f>
        <v>0</v>
      </c>
      <c r="AO668" s="487" t="e">
        <f>+VLOOKUP($AJ668,Data_Validation!$A:$D,1,0)</f>
        <v>#N/A</v>
      </c>
      <c r="AP668" s="487" t="e">
        <f>+VLOOKUP($AJ668,Data_Validation!$A:$D,3,0)</f>
        <v>#N/A</v>
      </c>
      <c r="AQ668" s="487" t="e">
        <f>+VLOOKUP($AJ668,Data_Validation!$A:$D,4,0)</f>
        <v>#N/A</v>
      </c>
      <c r="AR668" s="487" t="s">
        <v>299</v>
      </c>
      <c r="AS668" s="487" t="e">
        <f>+VLOOKUP($AJ668,Data_Validation!$A:$E,5,0)</f>
        <v>#N/A</v>
      </c>
      <c r="AT668" s="904">
        <f t="shared" si="42"/>
        <v>0</v>
      </c>
      <c r="AU668" s="488">
        <f t="shared" si="42"/>
        <v>0</v>
      </c>
      <c r="AV668" s="899">
        <f>IFERROR(INDEX(V668:AG668,1,MATCH(Parametres!$B$3,V$1:AG$1,0)-1)*IF(OR(C668="L",C668="S",C668="I"),-1,1),"")</f>
        <v>0</v>
      </c>
      <c r="AW668" s="899">
        <f t="shared" si="43"/>
        <v>0</v>
      </c>
      <c r="AX668" s="899">
        <f>INDEX(V668:AG668,1,MATCH(Parametres!$B$3,V$1:AG$1,0))*IF(OR(C668="L",C668="S",C668="I"),-1,1)</f>
        <v>0</v>
      </c>
      <c r="AY668" s="487" t="s">
        <v>337</v>
      </c>
      <c r="AZ668" s="487" t="e">
        <f>+VLOOKUP($AJ668,Data_Validation!$A:$E,5,0)</f>
        <v>#N/A</v>
      </c>
    </row>
    <row r="669" spans="36:52" ht="15" customHeight="1">
      <c r="AJ669" s="899">
        <f t="shared" si="44"/>
        <v>0</v>
      </c>
      <c r="AK669" s="899">
        <f t="shared" si="44"/>
        <v>0</v>
      </c>
      <c r="AL669" s="905">
        <f>IFERROR(INDEX(G669:R669,1,MATCH(Parametres!$B$3,G$1:R$1,0)-1)*IF(OR(F669="L",F669="S",F669="I"),-1,1),"")</f>
        <v>0</v>
      </c>
      <c r="AM669" s="905">
        <f t="shared" si="41"/>
        <v>0</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f t="shared" si="42"/>
        <v>0</v>
      </c>
      <c r="AU669" s="488">
        <f t="shared" si="42"/>
        <v>0</v>
      </c>
      <c r="AV669" s="899">
        <f>IFERROR(INDEX(V669:AG669,1,MATCH(Parametres!$B$3,V$1:AG$1,0)-1)*IF(OR(C669="L",C669="S",C669="I"),-1,1),"")</f>
        <v>0</v>
      </c>
      <c r="AW669" s="899">
        <f t="shared" si="43"/>
        <v>0</v>
      </c>
      <c r="AX669" s="899">
        <f>INDEX(V669:AG669,1,MATCH(Parametres!$B$3,V$1:AG$1,0))*IF(OR(C669="L",C669="S",C669="I"),-1,1)</f>
        <v>0</v>
      </c>
      <c r="AY669" s="487" t="s">
        <v>337</v>
      </c>
      <c r="AZ669" s="487" t="e">
        <f>+VLOOKUP($AJ669,Data_Validation!$A:$E,5,0)</f>
        <v>#N/A</v>
      </c>
    </row>
    <row r="670" spans="36:52" ht="15" customHeight="1">
      <c r="AJ670" s="899">
        <f t="shared" si="44"/>
        <v>0</v>
      </c>
      <c r="AK670" s="899">
        <f t="shared" si="44"/>
        <v>0</v>
      </c>
      <c r="AL670" s="905">
        <f>IFERROR(INDEX(G670:R670,1,MATCH(Parametres!$B$3,G$1:R$1,0)-1)*IF(OR(F670="L",F670="S",F670="I"),-1,1),"")</f>
        <v>0</v>
      </c>
      <c r="AM670" s="905">
        <f t="shared" si="41"/>
        <v>0</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f t="shared" si="42"/>
        <v>0</v>
      </c>
      <c r="AU670" s="488">
        <f t="shared" si="42"/>
        <v>0</v>
      </c>
      <c r="AV670" s="899">
        <f>IFERROR(INDEX(V670:AG670,1,MATCH(Parametres!$B$3,V$1:AG$1,0)-1)*IF(OR(C670="L",C670="S",C670="I"),-1,1),"")</f>
        <v>0</v>
      </c>
      <c r="AW670" s="899">
        <f t="shared" si="43"/>
        <v>0</v>
      </c>
      <c r="AX670" s="899">
        <f>INDEX(V670:AG670,1,MATCH(Parametres!$B$3,V$1:AG$1,0))*IF(OR(C670="L",C670="S",C670="I"),-1,1)</f>
        <v>0</v>
      </c>
      <c r="AY670" s="487" t="s">
        <v>337</v>
      </c>
      <c r="AZ670" s="487" t="e">
        <f>+VLOOKUP($AJ670,Data_Validation!$A:$E,5,0)</f>
        <v>#N/A</v>
      </c>
    </row>
    <row r="671" spans="36:52" ht="15" customHeight="1">
      <c r="AJ671" s="899">
        <f t="shared" si="44"/>
        <v>0</v>
      </c>
      <c r="AK671" s="899">
        <f t="shared" si="44"/>
        <v>0</v>
      </c>
      <c r="AL671" s="905">
        <f>IFERROR(INDEX(G671:R671,1,MATCH(Parametres!$B$3,G$1:R$1,0)-1)*IF(OR(F671="L",F671="S",F671="I"),-1,1),"")</f>
        <v>0</v>
      </c>
      <c r="AM671" s="905">
        <f t="shared" si="41"/>
        <v>0</v>
      </c>
      <c r="AN671" s="905">
        <f>INDEX(G671:R671,1,MATCH(Parametres!$B$3,G$1:R$1,0))*IF(OR(F671="L",F671="S",F671="I"),-1,1)</f>
        <v>0</v>
      </c>
      <c r="AO671" s="487" t="e">
        <f>+VLOOKUP($AJ671,Data_Validation!$A:$D,1,0)</f>
        <v>#N/A</v>
      </c>
      <c r="AP671" s="487" t="e">
        <f>+VLOOKUP($AJ671,Data_Validation!$A:$D,3,0)</f>
        <v>#N/A</v>
      </c>
      <c r="AQ671" s="487" t="e">
        <f>+VLOOKUP($AJ671,Data_Validation!$A:$D,4,0)</f>
        <v>#N/A</v>
      </c>
      <c r="AR671" s="487" t="s">
        <v>299</v>
      </c>
      <c r="AS671" s="487" t="e">
        <f>+VLOOKUP($AJ671,Data_Validation!$A:$E,5,0)</f>
        <v>#N/A</v>
      </c>
      <c r="AT671" s="904">
        <f t="shared" si="42"/>
        <v>0</v>
      </c>
      <c r="AU671" s="488">
        <f t="shared" si="42"/>
        <v>0</v>
      </c>
      <c r="AV671" s="899">
        <f>IFERROR(INDEX(V671:AG671,1,MATCH(Parametres!$B$3,V$1:AG$1,0)-1)*IF(OR(C671="L",C671="S",C671="I"),-1,1),"")</f>
        <v>0</v>
      </c>
      <c r="AW671" s="899">
        <f t="shared" si="43"/>
        <v>0</v>
      </c>
      <c r="AX671" s="899">
        <f>INDEX(V671:AG671,1,MATCH(Parametres!$B$3,V$1:AG$1,0))*IF(OR(C671="L",C671="S",C671="I"),-1,1)</f>
        <v>0</v>
      </c>
      <c r="AY671" s="487" t="s">
        <v>337</v>
      </c>
      <c r="AZ671" s="487" t="e">
        <f>+VLOOKUP($AJ671,Data_Validation!$A:$E,5,0)</f>
        <v>#N/A</v>
      </c>
    </row>
    <row r="672" spans="36:52" ht="15" customHeight="1">
      <c r="AJ672" s="899">
        <f t="shared" si="44"/>
        <v>0</v>
      </c>
      <c r="AK672" s="899">
        <f t="shared" si="44"/>
        <v>0</v>
      </c>
      <c r="AL672" s="905">
        <f>IFERROR(INDEX(G672:R672,1,MATCH(Parametres!$B$3,G$1:R$1,0)-1)*IF(OR(F672="L",F672="S",F672="I"),-1,1),"")</f>
        <v>0</v>
      </c>
      <c r="AM672" s="905">
        <f t="shared" si="41"/>
        <v>0</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f t="shared" si="42"/>
        <v>0</v>
      </c>
      <c r="AU672" s="488">
        <f t="shared" si="42"/>
        <v>0</v>
      </c>
      <c r="AV672" s="899">
        <f>IFERROR(INDEX(V672:AG672,1,MATCH(Parametres!$B$3,V$1:AG$1,0)-1)*IF(OR(C672="L",C672="S",C672="I"),-1,1),"")</f>
        <v>0</v>
      </c>
      <c r="AW672" s="899">
        <f t="shared" si="43"/>
        <v>0</v>
      </c>
      <c r="AX672" s="899">
        <f>INDEX(V672:AG672,1,MATCH(Parametres!$B$3,V$1:AG$1,0))*IF(OR(C672="L",C672="S",C672="I"),-1,1)</f>
        <v>0</v>
      </c>
      <c r="AY672" s="487" t="s">
        <v>337</v>
      </c>
      <c r="AZ672" s="487" t="e">
        <f>+VLOOKUP($AJ672,Data_Validation!$A:$E,5,0)</f>
        <v>#N/A</v>
      </c>
    </row>
    <row r="673" spans="36:52" ht="15" customHeight="1">
      <c r="AJ673" s="899">
        <f t="shared" si="44"/>
        <v>0</v>
      </c>
      <c r="AK673" s="899">
        <f t="shared" si="44"/>
        <v>0</v>
      </c>
      <c r="AL673" s="905">
        <f>IFERROR(INDEX(G673:R673,1,MATCH(Parametres!$B$3,G$1:R$1,0)-1)*IF(OR(F673="L",F673="S",F673="I"),-1,1),"")</f>
        <v>0</v>
      </c>
      <c r="AM673" s="905">
        <f t="shared" si="41"/>
        <v>0</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f t="shared" si="42"/>
        <v>0</v>
      </c>
      <c r="AU673" s="488">
        <f t="shared" si="42"/>
        <v>0</v>
      </c>
      <c r="AV673" s="899">
        <f>IFERROR(INDEX(V673:AG673,1,MATCH(Parametres!$B$3,V$1:AG$1,0)-1)*IF(OR(C673="L",C673="S",C673="I"),-1,1),"")</f>
        <v>0</v>
      </c>
      <c r="AW673" s="899">
        <f t="shared" si="43"/>
        <v>0</v>
      </c>
      <c r="AX673" s="899">
        <f>INDEX(V673:AG673,1,MATCH(Parametres!$B$3,V$1:AG$1,0))*IF(OR(C673="L",C673="S",C673="I"),-1,1)</f>
        <v>0</v>
      </c>
      <c r="AY673" s="487" t="s">
        <v>337</v>
      </c>
      <c r="AZ673" s="487" t="e">
        <f>+VLOOKUP($AJ673,Data_Validation!$A:$E,5,0)</f>
        <v>#N/A</v>
      </c>
    </row>
    <row r="674" spans="36:52" ht="15" customHeight="1">
      <c r="AJ674" s="899">
        <f t="shared" si="44"/>
        <v>0</v>
      </c>
      <c r="AK674" s="899">
        <f t="shared" si="44"/>
        <v>0</v>
      </c>
      <c r="AL674" s="905">
        <f>IFERROR(INDEX(G674:R674,1,MATCH(Parametres!$B$3,G$1:R$1,0)-1)*IF(OR(F674="L",F674="S",F674="I"),-1,1),"")</f>
        <v>0</v>
      </c>
      <c r="AM674" s="905">
        <f t="shared" si="41"/>
        <v>0</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f t="shared" si="42"/>
        <v>0</v>
      </c>
      <c r="AU674" s="488">
        <f t="shared" si="42"/>
        <v>0</v>
      </c>
      <c r="AV674" s="899">
        <f>IFERROR(INDEX(V674:AG674,1,MATCH(Parametres!$B$3,V$1:AG$1,0)-1)*IF(OR(C674="L",C674="S",C674="I"),-1,1),"")</f>
        <v>0</v>
      </c>
      <c r="AW674" s="899">
        <f t="shared" si="43"/>
        <v>0</v>
      </c>
      <c r="AX674" s="899">
        <f>INDEX(V674:AG674,1,MATCH(Parametres!$B$3,V$1:AG$1,0))*IF(OR(C674="L",C674="S",C674="I"),-1,1)</f>
        <v>0</v>
      </c>
      <c r="AY674" s="487" t="s">
        <v>337</v>
      </c>
      <c r="AZ674" s="487" t="e">
        <f>+VLOOKUP($AJ674,Data_Validation!$A:$E,5,0)</f>
        <v>#N/A</v>
      </c>
    </row>
    <row r="675" spans="36:52" ht="15" customHeight="1">
      <c r="AJ675" s="899">
        <f t="shared" si="44"/>
        <v>0</v>
      </c>
      <c r="AK675" s="899">
        <f t="shared" si="44"/>
        <v>0</v>
      </c>
      <c r="AL675" s="905">
        <f>IFERROR(INDEX(G675:R675,1,MATCH(Parametres!$B$3,G$1:R$1,0)-1)*IF(OR(F675="L",F675="S",F675="I"),-1,1),"")</f>
        <v>0</v>
      </c>
      <c r="AM675" s="905">
        <f t="shared" si="41"/>
        <v>0</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f t="shared" si="42"/>
        <v>0</v>
      </c>
      <c r="AU675" s="488">
        <f t="shared" si="42"/>
        <v>0</v>
      </c>
      <c r="AV675" s="899">
        <f>IFERROR(INDEX(V675:AG675,1,MATCH(Parametres!$B$3,V$1:AG$1,0)-1)*IF(OR(C675="L",C675="S",C675="I"),-1,1),"")</f>
        <v>0</v>
      </c>
      <c r="AW675" s="899">
        <f t="shared" si="43"/>
        <v>0</v>
      </c>
      <c r="AX675" s="899">
        <f>INDEX(V675:AG675,1,MATCH(Parametres!$B$3,V$1:AG$1,0))*IF(OR(C675="L",C675="S",C675="I"),-1,1)</f>
        <v>0</v>
      </c>
      <c r="AY675" s="487" t="s">
        <v>337</v>
      </c>
      <c r="AZ675" s="487" t="e">
        <f>+VLOOKUP($AJ675,Data_Validation!$A:$E,5,0)</f>
        <v>#N/A</v>
      </c>
    </row>
    <row r="676" spans="36:52" ht="15" customHeight="1">
      <c r="AJ676" s="899">
        <f t="shared" si="44"/>
        <v>0</v>
      </c>
      <c r="AK676" s="899">
        <f t="shared" si="44"/>
        <v>0</v>
      </c>
      <c r="AL676" s="905">
        <f>IFERROR(INDEX(G676:R676,1,MATCH(Parametres!$B$3,G$1:R$1,0)-1)*IF(OR(F676="L",F676="S",F676="I"),-1,1),"")</f>
        <v>0</v>
      </c>
      <c r="AM676" s="905">
        <f t="shared" si="41"/>
        <v>0</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f t="shared" si="42"/>
        <v>0</v>
      </c>
      <c r="AU676" s="488">
        <f t="shared" si="42"/>
        <v>0</v>
      </c>
      <c r="AV676" s="899">
        <f>IFERROR(INDEX(V676:AG676,1,MATCH(Parametres!$B$3,V$1:AG$1,0)-1)*IF(OR(C676="L",C676="S",C676="I"),-1,1),"")</f>
        <v>0</v>
      </c>
      <c r="AW676" s="899">
        <f t="shared" si="43"/>
        <v>0</v>
      </c>
      <c r="AX676" s="899">
        <f>INDEX(V676:AG676,1,MATCH(Parametres!$B$3,V$1:AG$1,0))*IF(OR(C676="L",C676="S",C676="I"),-1,1)</f>
        <v>0</v>
      </c>
      <c r="AY676" s="487" t="s">
        <v>337</v>
      </c>
      <c r="AZ676" s="487" t="e">
        <f>+VLOOKUP($AJ676,Data_Validation!$A:$E,5,0)</f>
        <v>#N/A</v>
      </c>
    </row>
    <row r="677" spans="36:52" ht="15" customHeight="1">
      <c r="AJ677" s="899">
        <f t="shared" si="44"/>
        <v>0</v>
      </c>
      <c r="AK677" s="899">
        <f t="shared" si="44"/>
        <v>0</v>
      </c>
      <c r="AL677" s="905">
        <f>IFERROR(INDEX(G677:R677,1,MATCH(Parametres!$B$3,G$1:R$1,0)-1)*IF(OR(F677="L",F677="S",F677="I"),-1,1),"")</f>
        <v>0</v>
      </c>
      <c r="AM677" s="905">
        <f t="shared" si="41"/>
        <v>0</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f t="shared" si="42"/>
        <v>0</v>
      </c>
      <c r="AU677" s="488">
        <f t="shared" si="42"/>
        <v>0</v>
      </c>
      <c r="AV677" s="899">
        <f>IFERROR(INDEX(V677:AG677,1,MATCH(Parametres!$B$3,V$1:AG$1,0)-1)*IF(OR(C677="L",C677="S",C677="I"),-1,1),"")</f>
        <v>0</v>
      </c>
      <c r="AW677" s="899">
        <f t="shared" si="43"/>
        <v>0</v>
      </c>
      <c r="AX677" s="899">
        <f>INDEX(V677:AG677,1,MATCH(Parametres!$B$3,V$1:AG$1,0))*IF(OR(C677="L",C677="S",C677="I"),-1,1)</f>
        <v>0</v>
      </c>
      <c r="AY677" s="487" t="s">
        <v>337</v>
      </c>
      <c r="AZ677" s="487" t="e">
        <f>+VLOOKUP($AJ677,Data_Validation!$A:$E,5,0)</f>
        <v>#N/A</v>
      </c>
    </row>
    <row r="678" spans="36:52" ht="15" customHeight="1">
      <c r="AJ678" s="899">
        <f t="shared" si="44"/>
        <v>0</v>
      </c>
      <c r="AK678" s="899">
        <f t="shared" si="44"/>
        <v>0</v>
      </c>
      <c r="AL678" s="905">
        <f>IFERROR(INDEX(G678:R678,1,MATCH(Parametres!$B$3,G$1:R$1,0)-1)*IF(OR(F678="L",F678="S",F678="I"),-1,1),"")</f>
        <v>0</v>
      </c>
      <c r="AM678" s="905">
        <f t="shared" si="41"/>
        <v>0</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f t="shared" si="42"/>
        <v>0</v>
      </c>
      <c r="AU678" s="488">
        <f t="shared" si="42"/>
        <v>0</v>
      </c>
      <c r="AV678" s="899">
        <f>IFERROR(INDEX(V678:AG678,1,MATCH(Parametres!$B$3,V$1:AG$1,0)-1)*IF(OR(C678="L",C678="S",C678="I"),-1,1),"")</f>
        <v>0</v>
      </c>
      <c r="AW678" s="899">
        <f t="shared" si="43"/>
        <v>0</v>
      </c>
      <c r="AX678" s="899">
        <f>INDEX(V678:AG678,1,MATCH(Parametres!$B$3,V$1:AG$1,0))*IF(OR(C678="L",C678="S",C678="I"),-1,1)</f>
        <v>0</v>
      </c>
      <c r="AY678" s="487" t="s">
        <v>337</v>
      </c>
      <c r="AZ678" s="487" t="e">
        <f>+VLOOKUP($AJ678,Data_Validation!$A:$E,5,0)</f>
        <v>#N/A</v>
      </c>
    </row>
    <row r="679" spans="36:52" ht="15" customHeight="1">
      <c r="AJ679" s="899">
        <f t="shared" si="44"/>
        <v>0</v>
      </c>
      <c r="AK679" s="899">
        <f t="shared" si="44"/>
        <v>0</v>
      </c>
      <c r="AL679" s="905">
        <f>IFERROR(INDEX(G679:R679,1,MATCH(Parametres!$B$3,G$1:R$1,0)-1)*IF(OR(F679="L",F679="S",F679="I"),-1,1),"")</f>
        <v>0</v>
      </c>
      <c r="AM679" s="905">
        <f t="shared" si="41"/>
        <v>0</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f t="shared" si="42"/>
        <v>0</v>
      </c>
      <c r="AU679" s="488">
        <f t="shared" si="42"/>
        <v>0</v>
      </c>
      <c r="AV679" s="899">
        <f>IFERROR(INDEX(V679:AG679,1,MATCH(Parametres!$B$3,V$1:AG$1,0)-1)*IF(OR(C679="L",C679="S",C679="I"),-1,1),"")</f>
        <v>0</v>
      </c>
      <c r="AW679" s="899">
        <f t="shared" si="43"/>
        <v>0</v>
      </c>
      <c r="AX679" s="899">
        <f>INDEX(V679:AG679,1,MATCH(Parametres!$B$3,V$1:AG$1,0))*IF(OR(C679="L",C679="S",C679="I"),-1,1)</f>
        <v>0</v>
      </c>
      <c r="AY679" s="487" t="s">
        <v>337</v>
      </c>
      <c r="AZ679" s="487" t="e">
        <f>+VLOOKUP($AJ679,Data_Validation!$A:$E,5,0)</f>
        <v>#N/A</v>
      </c>
    </row>
    <row r="680" spans="36:52" ht="15" customHeight="1">
      <c r="AJ680" s="899">
        <f t="shared" si="44"/>
        <v>0</v>
      </c>
      <c r="AK680" s="899">
        <f t="shared" si="44"/>
        <v>0</v>
      </c>
      <c r="AL680" s="905">
        <f>IFERROR(INDEX(G680:R680,1,MATCH(Parametres!$B$3,G$1:R$1,0)-1)*IF(OR(F680="L",F680="S",F680="I"),-1,1),"")</f>
        <v>0</v>
      </c>
      <c r="AM680" s="905">
        <f t="shared" si="41"/>
        <v>0</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f t="shared" si="42"/>
        <v>0</v>
      </c>
      <c r="AU680" s="488">
        <f t="shared" si="42"/>
        <v>0</v>
      </c>
      <c r="AV680" s="899">
        <f>IFERROR(INDEX(V680:AG680,1,MATCH(Parametres!$B$3,V$1:AG$1,0)-1)*IF(OR(C680="L",C680="S",C680="I"),-1,1),"")</f>
        <v>0</v>
      </c>
      <c r="AW680" s="899">
        <f t="shared" si="43"/>
        <v>0</v>
      </c>
      <c r="AX680" s="899">
        <f>INDEX(V680:AG680,1,MATCH(Parametres!$B$3,V$1:AG$1,0))*IF(OR(C680="L",C680="S",C680="I"),-1,1)</f>
        <v>0</v>
      </c>
      <c r="AY680" s="487" t="s">
        <v>337</v>
      </c>
      <c r="AZ680" s="487" t="e">
        <f>+VLOOKUP($AJ680,Data_Validation!$A:$E,5,0)</f>
        <v>#N/A</v>
      </c>
    </row>
    <row r="681" spans="36:52" ht="15" customHeight="1">
      <c r="AJ681" s="899">
        <f t="shared" si="44"/>
        <v>0</v>
      </c>
      <c r="AK681" s="899">
        <f t="shared" si="44"/>
        <v>0</v>
      </c>
      <c r="AL681" s="905">
        <f>IFERROR(INDEX(G681:R681,1,MATCH(Parametres!$B$3,G$1:R$1,0)-1)*IF(OR(F681="L",F681="S",F681="I"),-1,1),"")</f>
        <v>0</v>
      </c>
      <c r="AM681" s="905">
        <f t="shared" si="41"/>
        <v>0</v>
      </c>
      <c r="AN681" s="905">
        <f>INDEX(G681:R681,1,MATCH(Parametres!$B$3,G$1:R$1,0))*IF(OR(F681="L",F681="S",F681="I"),-1,1)</f>
        <v>0</v>
      </c>
      <c r="AO681" s="487" t="e">
        <f>+VLOOKUP($AJ681,Data_Validation!$A:$D,1,0)</f>
        <v>#N/A</v>
      </c>
      <c r="AP681" s="487" t="e">
        <f>+VLOOKUP($AJ681,Data_Validation!$A:$D,3,0)</f>
        <v>#N/A</v>
      </c>
      <c r="AQ681" s="487" t="e">
        <f>+VLOOKUP($AJ681,Data_Validation!$A:$D,4,0)</f>
        <v>#N/A</v>
      </c>
      <c r="AR681" s="487" t="s">
        <v>299</v>
      </c>
      <c r="AS681" s="487" t="e">
        <f>+VLOOKUP($AJ681,Data_Validation!$A:$E,5,0)</f>
        <v>#N/A</v>
      </c>
      <c r="AT681" s="904">
        <f t="shared" si="42"/>
        <v>0</v>
      </c>
      <c r="AU681" s="488">
        <f t="shared" si="42"/>
        <v>0</v>
      </c>
      <c r="AV681" s="899">
        <f>IFERROR(INDEX(V681:AG681,1,MATCH(Parametres!$B$3,V$1:AG$1,0)-1)*IF(OR(C681="L",C681="S",C681="I"),-1,1),"")</f>
        <v>0</v>
      </c>
      <c r="AW681" s="899">
        <f t="shared" si="43"/>
        <v>0</v>
      </c>
      <c r="AX681" s="899">
        <f>INDEX(V681:AG681,1,MATCH(Parametres!$B$3,V$1:AG$1,0))*IF(OR(C681="L",C681="S",C681="I"),-1,1)</f>
        <v>0</v>
      </c>
      <c r="AY681" s="487" t="s">
        <v>337</v>
      </c>
      <c r="AZ681" s="487" t="e">
        <f>+VLOOKUP($AJ681,Data_Validation!$A:$E,5,0)</f>
        <v>#N/A</v>
      </c>
    </row>
    <row r="682" spans="36:52" ht="15" customHeight="1">
      <c r="AJ682" s="899">
        <f t="shared" si="44"/>
        <v>0</v>
      </c>
      <c r="AK682" s="899">
        <f t="shared" si="44"/>
        <v>0</v>
      </c>
      <c r="AL682" s="905">
        <f>IFERROR(INDEX(G682:R682,1,MATCH(Parametres!$B$3,G$1:R$1,0)-1)*IF(OR(F682="L",F682="S",F682="I"),-1,1),"")</f>
        <v>0</v>
      </c>
      <c r="AM682" s="905">
        <f t="shared" si="41"/>
        <v>0</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f t="shared" si="42"/>
        <v>0</v>
      </c>
      <c r="AU682" s="488">
        <f t="shared" si="42"/>
        <v>0</v>
      </c>
      <c r="AV682" s="899">
        <f>IFERROR(INDEX(V682:AG682,1,MATCH(Parametres!$B$3,V$1:AG$1,0)-1)*IF(OR(C682="L",C682="S",C682="I"),-1,1),"")</f>
        <v>0</v>
      </c>
      <c r="AW682" s="899">
        <f t="shared" si="43"/>
        <v>0</v>
      </c>
      <c r="AX682" s="899">
        <f>INDEX(V682:AG682,1,MATCH(Parametres!$B$3,V$1:AG$1,0))*IF(OR(C682="L",C682="S",C682="I"),-1,1)</f>
        <v>0</v>
      </c>
      <c r="AY682" s="487" t="s">
        <v>337</v>
      </c>
      <c r="AZ682" s="487" t="e">
        <f>+VLOOKUP($AJ682,Data_Validation!$A:$E,5,0)</f>
        <v>#N/A</v>
      </c>
    </row>
    <row r="683" spans="36:52" ht="15" customHeight="1">
      <c r="AJ683" s="899">
        <f t="shared" si="44"/>
        <v>0</v>
      </c>
      <c r="AK683" s="899">
        <f t="shared" si="44"/>
        <v>0</v>
      </c>
      <c r="AL683" s="905">
        <f>IFERROR(INDEX(G683:R683,1,MATCH(Parametres!$B$3,G$1:R$1,0)-1)*IF(OR(F683="L",F683="S",F683="I"),-1,1),"")</f>
        <v>0</v>
      </c>
      <c r="AM683" s="905">
        <f t="shared" si="41"/>
        <v>0</v>
      </c>
      <c r="AN683" s="905">
        <f>INDEX(G683:R683,1,MATCH(Parametres!$B$3,G$1:R$1,0))*IF(OR(F683="L",F683="S",F683="I"),-1,1)</f>
        <v>0</v>
      </c>
      <c r="AO683" s="487" t="e">
        <f>+VLOOKUP($AJ683,Data_Validation!$A:$D,1,0)</f>
        <v>#N/A</v>
      </c>
      <c r="AP683" s="487" t="e">
        <f>+VLOOKUP($AJ683,Data_Validation!$A:$D,3,0)</f>
        <v>#N/A</v>
      </c>
      <c r="AQ683" s="487" t="e">
        <f>+VLOOKUP($AJ683,Data_Validation!$A:$D,4,0)</f>
        <v>#N/A</v>
      </c>
      <c r="AR683" s="487" t="s">
        <v>299</v>
      </c>
      <c r="AS683" s="487" t="e">
        <f>+VLOOKUP($AJ683,Data_Validation!$A:$E,5,0)</f>
        <v>#N/A</v>
      </c>
      <c r="AT683" s="904">
        <f t="shared" si="42"/>
        <v>0</v>
      </c>
      <c r="AU683" s="488">
        <f t="shared" si="42"/>
        <v>0</v>
      </c>
      <c r="AV683" s="899">
        <f>IFERROR(INDEX(V683:AG683,1,MATCH(Parametres!$B$3,V$1:AG$1,0)-1)*IF(OR(C683="L",C683="S",C683="I"),-1,1),"")</f>
        <v>0</v>
      </c>
      <c r="AW683" s="899">
        <f t="shared" si="43"/>
        <v>0</v>
      </c>
      <c r="AX683" s="899">
        <f>INDEX(V683:AG683,1,MATCH(Parametres!$B$3,V$1:AG$1,0))*IF(OR(C683="L",C683="S",C683="I"),-1,1)</f>
        <v>0</v>
      </c>
      <c r="AY683" s="487" t="s">
        <v>337</v>
      </c>
      <c r="AZ683" s="487" t="e">
        <f>+VLOOKUP($AJ683,Data_Validation!$A:$E,5,0)</f>
        <v>#N/A</v>
      </c>
    </row>
    <row r="684" spans="36:52" ht="15" customHeight="1">
      <c r="AJ684" s="899">
        <f t="shared" si="44"/>
        <v>0</v>
      </c>
      <c r="AK684" s="899">
        <f t="shared" si="44"/>
        <v>0</v>
      </c>
      <c r="AL684" s="905">
        <f>IFERROR(INDEX(G684:R684,1,MATCH(Parametres!$B$3,G$1:R$1,0)-1)*IF(OR(F684="L",F684="S",F684="I"),-1,1),"")</f>
        <v>0</v>
      </c>
      <c r="AM684" s="905">
        <f t="shared" si="41"/>
        <v>0</v>
      </c>
      <c r="AN684" s="905">
        <f>INDEX(G684:R684,1,MATCH(Parametres!$B$3,G$1:R$1,0))*IF(OR(F684="L",F684="S",F684="I"),-1,1)</f>
        <v>0</v>
      </c>
      <c r="AO684" s="487" t="e">
        <f>+VLOOKUP($AJ684,Data_Validation!$A:$D,1,0)</f>
        <v>#N/A</v>
      </c>
      <c r="AP684" s="487" t="e">
        <f>+VLOOKUP($AJ684,Data_Validation!$A:$D,3,0)</f>
        <v>#N/A</v>
      </c>
      <c r="AQ684" s="487" t="e">
        <f>+VLOOKUP($AJ684,Data_Validation!$A:$D,4,0)</f>
        <v>#N/A</v>
      </c>
      <c r="AR684" s="487" t="s">
        <v>299</v>
      </c>
      <c r="AS684" s="487" t="e">
        <f>+VLOOKUP($AJ684,Data_Validation!$A:$E,5,0)</f>
        <v>#N/A</v>
      </c>
      <c r="AT684" s="904">
        <f t="shared" si="42"/>
        <v>0</v>
      </c>
      <c r="AU684" s="488">
        <f t="shared" si="42"/>
        <v>0</v>
      </c>
      <c r="AV684" s="899">
        <f>IFERROR(INDEX(V684:AG684,1,MATCH(Parametres!$B$3,V$1:AG$1,0)-1)*IF(OR(C684="L",C684="S",C684="I"),-1,1),"")</f>
        <v>0</v>
      </c>
      <c r="AW684" s="899">
        <f t="shared" si="43"/>
        <v>0</v>
      </c>
      <c r="AX684" s="899">
        <f>INDEX(V684:AG684,1,MATCH(Parametres!$B$3,V$1:AG$1,0))*IF(OR(C684="L",C684="S",C684="I"),-1,1)</f>
        <v>0</v>
      </c>
      <c r="AY684" s="487" t="s">
        <v>337</v>
      </c>
      <c r="AZ684" s="487" t="e">
        <f>+VLOOKUP($AJ684,Data_Validation!$A:$E,5,0)</f>
        <v>#N/A</v>
      </c>
    </row>
    <row r="685" spans="36:52" ht="15" customHeight="1">
      <c r="AJ685" s="899">
        <f t="shared" si="44"/>
        <v>0</v>
      </c>
      <c r="AK685" s="899">
        <f t="shared" si="44"/>
        <v>0</v>
      </c>
      <c r="AL685" s="905">
        <f>IFERROR(INDEX(G685:R685,1,MATCH(Parametres!$B$3,G$1:R$1,0)-1)*IF(OR(F685="L",F685="S",F685="I"),-1,1),"")</f>
        <v>0</v>
      </c>
      <c r="AM685" s="905">
        <f t="shared" si="41"/>
        <v>0</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f t="shared" si="42"/>
        <v>0</v>
      </c>
      <c r="AU685" s="488">
        <f t="shared" si="42"/>
        <v>0</v>
      </c>
      <c r="AV685" s="899">
        <f>IFERROR(INDEX(V685:AG685,1,MATCH(Parametres!$B$3,V$1:AG$1,0)-1)*IF(OR(C685="L",C685="S",C685="I"),-1,1),"")</f>
        <v>0</v>
      </c>
      <c r="AW685" s="899">
        <f t="shared" si="43"/>
        <v>0</v>
      </c>
      <c r="AX685" s="899">
        <f>INDEX(V685:AG685,1,MATCH(Parametres!$B$3,V$1:AG$1,0))*IF(OR(C685="L",C685="S",C685="I"),-1,1)</f>
        <v>0</v>
      </c>
      <c r="AY685" s="487" t="s">
        <v>337</v>
      </c>
      <c r="AZ685" s="487" t="e">
        <f>+VLOOKUP($AJ685,Data_Validation!$A:$E,5,0)</f>
        <v>#N/A</v>
      </c>
    </row>
    <row r="686" spans="36:52" ht="15" customHeight="1">
      <c r="AJ686" s="899">
        <f t="shared" si="44"/>
        <v>0</v>
      </c>
      <c r="AK686" s="899">
        <f t="shared" si="44"/>
        <v>0</v>
      </c>
      <c r="AL686" s="905">
        <f>IFERROR(INDEX(G686:R686,1,MATCH(Parametres!$B$3,G$1:R$1,0)-1)*IF(OR(F686="L",F686="S",F686="I"),-1,1),"")</f>
        <v>0</v>
      </c>
      <c r="AM686" s="905">
        <f t="shared" si="41"/>
        <v>0</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f t="shared" si="42"/>
        <v>0</v>
      </c>
      <c r="AU686" s="488">
        <f t="shared" si="42"/>
        <v>0</v>
      </c>
      <c r="AV686" s="899">
        <f>IFERROR(INDEX(V686:AG686,1,MATCH(Parametres!$B$3,V$1:AG$1,0)-1)*IF(OR(C686="L",C686="S",C686="I"),-1,1),"")</f>
        <v>0</v>
      </c>
      <c r="AW686" s="899">
        <f t="shared" si="43"/>
        <v>0</v>
      </c>
      <c r="AX686" s="899">
        <f>INDEX(V686:AG686,1,MATCH(Parametres!$B$3,V$1:AG$1,0))*IF(OR(C686="L",C686="S",C686="I"),-1,1)</f>
        <v>0</v>
      </c>
      <c r="AY686" s="487" t="s">
        <v>337</v>
      </c>
      <c r="AZ686" s="487" t="e">
        <f>+VLOOKUP($AJ686,Data_Validation!$A:$E,5,0)</f>
        <v>#N/A</v>
      </c>
    </row>
    <row r="687" spans="36:52" ht="15" customHeight="1">
      <c r="AJ687" s="899">
        <f t="shared" si="44"/>
        <v>0</v>
      </c>
      <c r="AK687" s="899">
        <f t="shared" si="44"/>
        <v>0</v>
      </c>
      <c r="AL687" s="905">
        <f>IFERROR(INDEX(G687:R687,1,MATCH(Parametres!$B$3,G$1:R$1,0)-1)*IF(OR(F687="L",F687="S",F687="I"),-1,1),"")</f>
        <v>0</v>
      </c>
      <c r="AM687" s="905">
        <f t="shared" si="41"/>
        <v>0</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f t="shared" si="42"/>
        <v>0</v>
      </c>
      <c r="AU687" s="488">
        <f t="shared" si="42"/>
        <v>0</v>
      </c>
      <c r="AV687" s="899">
        <f>IFERROR(INDEX(V687:AG687,1,MATCH(Parametres!$B$3,V$1:AG$1,0)-1)*IF(OR(C687="L",C687="S",C687="I"),-1,1),"")</f>
        <v>0</v>
      </c>
      <c r="AW687" s="899">
        <f t="shared" si="43"/>
        <v>0</v>
      </c>
      <c r="AX687" s="899">
        <f>INDEX(V687:AG687,1,MATCH(Parametres!$B$3,V$1:AG$1,0))*IF(OR(C687="L",C687="S",C687="I"),-1,1)</f>
        <v>0</v>
      </c>
      <c r="AY687" s="487" t="s">
        <v>337</v>
      </c>
      <c r="AZ687" s="487" t="e">
        <f>+VLOOKUP($AJ687,Data_Validation!$A:$E,5,0)</f>
        <v>#N/A</v>
      </c>
    </row>
    <row r="688" spans="36:52" ht="15" customHeight="1">
      <c r="AJ688" s="899">
        <f t="shared" si="44"/>
        <v>0</v>
      </c>
      <c r="AK688" s="899">
        <f t="shared" si="44"/>
        <v>0</v>
      </c>
      <c r="AL688" s="905">
        <f>IFERROR(INDEX(G688:R688,1,MATCH(Parametres!$B$3,G$1:R$1,0)-1)*IF(OR(F688="L",F688="S",F688="I"),-1,1),"")</f>
        <v>0</v>
      </c>
      <c r="AM688" s="905">
        <f t="shared" si="41"/>
        <v>0</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f t="shared" si="42"/>
        <v>0</v>
      </c>
      <c r="AU688" s="488">
        <f t="shared" si="42"/>
        <v>0</v>
      </c>
      <c r="AV688" s="899">
        <f>IFERROR(INDEX(V688:AG688,1,MATCH(Parametres!$B$3,V$1:AG$1,0)-1)*IF(OR(C688="L",C688="S",C688="I"),-1,1),"")</f>
        <v>0</v>
      </c>
      <c r="AW688" s="899">
        <f t="shared" si="43"/>
        <v>0</v>
      </c>
      <c r="AX688" s="899">
        <f>INDEX(V688:AG688,1,MATCH(Parametres!$B$3,V$1:AG$1,0))*IF(OR(C688="L",C688="S",C688="I"),-1,1)</f>
        <v>0</v>
      </c>
      <c r="AY688" s="487" t="s">
        <v>337</v>
      </c>
      <c r="AZ688" s="487" t="e">
        <f>+VLOOKUP($AJ688,Data_Validation!$A:$E,5,0)</f>
        <v>#N/A</v>
      </c>
    </row>
    <row r="689" spans="36:52" ht="15" customHeight="1">
      <c r="AJ689" s="899">
        <f t="shared" si="44"/>
        <v>0</v>
      </c>
      <c r="AK689" s="899">
        <f t="shared" si="44"/>
        <v>0</v>
      </c>
      <c r="AL689" s="905">
        <f>IFERROR(INDEX(G689:R689,1,MATCH(Parametres!$B$3,G$1:R$1,0)-1)*IF(OR(F689="L",F689="S",F689="I"),-1,1),"")</f>
        <v>0</v>
      </c>
      <c r="AM689" s="905">
        <f t="shared" si="41"/>
        <v>0</v>
      </c>
      <c r="AN689" s="905">
        <f>INDEX(G689:R689,1,MATCH(Parametres!$B$3,G$1:R$1,0))*IF(OR(F689="L",F689="S",F689="I"),-1,1)</f>
        <v>0</v>
      </c>
      <c r="AO689" s="487" t="e">
        <f>+VLOOKUP($AJ689,Data_Validation!$A:$D,1,0)</f>
        <v>#N/A</v>
      </c>
      <c r="AP689" s="487" t="e">
        <f>+VLOOKUP($AJ689,Data_Validation!$A:$D,3,0)</f>
        <v>#N/A</v>
      </c>
      <c r="AQ689" s="487" t="e">
        <f>+VLOOKUP($AJ689,Data_Validation!$A:$D,4,0)</f>
        <v>#N/A</v>
      </c>
      <c r="AR689" s="487" t="s">
        <v>299</v>
      </c>
      <c r="AS689" s="487" t="e">
        <f>+VLOOKUP($AJ689,Data_Validation!$A:$E,5,0)</f>
        <v>#N/A</v>
      </c>
      <c r="AT689" s="904">
        <f t="shared" si="42"/>
        <v>0</v>
      </c>
      <c r="AU689" s="488">
        <f t="shared" si="42"/>
        <v>0</v>
      </c>
      <c r="AV689" s="899">
        <f>IFERROR(INDEX(V689:AG689,1,MATCH(Parametres!$B$3,V$1:AG$1,0)-1)*IF(OR(C689="L",C689="S",C689="I"),-1,1),"")</f>
        <v>0</v>
      </c>
      <c r="AW689" s="899">
        <f t="shared" si="43"/>
        <v>0</v>
      </c>
      <c r="AX689" s="899">
        <f>INDEX(V689:AG689,1,MATCH(Parametres!$B$3,V$1:AG$1,0))*IF(OR(C689="L",C689="S",C689="I"),-1,1)</f>
        <v>0</v>
      </c>
      <c r="AY689" s="487" t="s">
        <v>337</v>
      </c>
      <c r="AZ689" s="487" t="e">
        <f>+VLOOKUP($AJ689,Data_Validation!$A:$E,5,0)</f>
        <v>#N/A</v>
      </c>
    </row>
    <row r="690" spans="36:52" ht="15" customHeight="1">
      <c r="AJ690" s="899">
        <f t="shared" si="44"/>
        <v>0</v>
      </c>
      <c r="AK690" s="899">
        <f t="shared" si="44"/>
        <v>0</v>
      </c>
      <c r="AL690" s="905">
        <f>IFERROR(INDEX(G690:R690,1,MATCH(Parametres!$B$3,G$1:R$1,0)-1)*IF(OR(F690="L",F690="S",F690="I"),-1,1),"")</f>
        <v>0</v>
      </c>
      <c r="AM690" s="905">
        <f t="shared" si="41"/>
        <v>0</v>
      </c>
      <c r="AN690" s="905">
        <f>INDEX(G690:R690,1,MATCH(Parametres!$B$3,G$1:R$1,0))*IF(OR(F690="L",F690="S",F690="I"),-1,1)</f>
        <v>0</v>
      </c>
      <c r="AO690" s="487" t="e">
        <f>+VLOOKUP($AJ690,Data_Validation!$A:$D,1,0)</f>
        <v>#N/A</v>
      </c>
      <c r="AP690" s="487" t="e">
        <f>+VLOOKUP($AJ690,Data_Validation!$A:$D,3,0)</f>
        <v>#N/A</v>
      </c>
      <c r="AQ690" s="487" t="e">
        <f>+VLOOKUP($AJ690,Data_Validation!$A:$D,4,0)</f>
        <v>#N/A</v>
      </c>
      <c r="AR690" s="487" t="s">
        <v>299</v>
      </c>
      <c r="AS690" s="487" t="e">
        <f>+VLOOKUP($AJ690,Data_Validation!$A:$E,5,0)</f>
        <v>#N/A</v>
      </c>
      <c r="AT690" s="904">
        <f t="shared" si="42"/>
        <v>0</v>
      </c>
      <c r="AU690" s="488">
        <f t="shared" si="42"/>
        <v>0</v>
      </c>
      <c r="AV690" s="899">
        <f>IFERROR(INDEX(V690:AG690,1,MATCH(Parametres!$B$3,V$1:AG$1,0)-1)*IF(OR(C690="L",C690="S",C690="I"),-1,1),"")</f>
        <v>0</v>
      </c>
      <c r="AW690" s="899">
        <f t="shared" si="43"/>
        <v>0</v>
      </c>
      <c r="AX690" s="899">
        <f>INDEX(V690:AG690,1,MATCH(Parametres!$B$3,V$1:AG$1,0))*IF(OR(C690="L",C690="S",C690="I"),-1,1)</f>
        <v>0</v>
      </c>
      <c r="AY690" s="487" t="s">
        <v>337</v>
      </c>
      <c r="AZ690" s="487" t="e">
        <f>+VLOOKUP($AJ690,Data_Validation!$A:$E,5,0)</f>
        <v>#N/A</v>
      </c>
    </row>
    <row r="691" spans="36:52" ht="15" customHeight="1">
      <c r="AJ691" s="899">
        <f t="shared" si="44"/>
        <v>0</v>
      </c>
      <c r="AK691" s="899">
        <f t="shared" si="44"/>
        <v>0</v>
      </c>
      <c r="AL691" s="905">
        <f>IFERROR(INDEX(G691:R691,1,MATCH(Parametres!$B$3,G$1:R$1,0)-1)*IF(OR(F691="L",F691="S",F691="I"),-1,1),"")</f>
        <v>0</v>
      </c>
      <c r="AM691" s="905">
        <f t="shared" si="41"/>
        <v>0</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f t="shared" si="42"/>
        <v>0</v>
      </c>
      <c r="AU691" s="488">
        <f t="shared" si="42"/>
        <v>0</v>
      </c>
      <c r="AV691" s="899">
        <f>IFERROR(INDEX(V691:AG691,1,MATCH(Parametres!$B$3,V$1:AG$1,0)-1)*IF(OR(C691="L",C691="S",C691="I"),-1,1),"")</f>
        <v>0</v>
      </c>
      <c r="AW691" s="899">
        <f t="shared" si="43"/>
        <v>0</v>
      </c>
      <c r="AX691" s="899">
        <f>INDEX(V691:AG691,1,MATCH(Parametres!$B$3,V$1:AG$1,0))*IF(OR(C691="L",C691="S",C691="I"),-1,1)</f>
        <v>0</v>
      </c>
      <c r="AY691" s="487" t="s">
        <v>337</v>
      </c>
      <c r="AZ691" s="487" t="e">
        <f>+VLOOKUP($AJ691,Data_Validation!$A:$E,5,0)</f>
        <v>#N/A</v>
      </c>
    </row>
    <row r="692" spans="36:52" ht="15" customHeight="1">
      <c r="AJ692" s="899">
        <f t="shared" si="44"/>
        <v>0</v>
      </c>
      <c r="AK692" s="899">
        <f t="shared" si="44"/>
        <v>0</v>
      </c>
      <c r="AL692" s="905">
        <f>IFERROR(INDEX(G692:R692,1,MATCH(Parametres!$B$3,G$1:R$1,0)-1)*IF(OR(F692="L",F692="S",F692="I"),-1,1),"")</f>
        <v>0</v>
      </c>
      <c r="AM692" s="905">
        <f t="shared" si="41"/>
        <v>0</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f t="shared" si="42"/>
        <v>0</v>
      </c>
      <c r="AU692" s="488">
        <f t="shared" si="42"/>
        <v>0</v>
      </c>
      <c r="AV692" s="899">
        <f>IFERROR(INDEX(V692:AG692,1,MATCH(Parametres!$B$3,V$1:AG$1,0)-1)*IF(OR(C692="L",C692="S",C692="I"),-1,1),"")</f>
        <v>0</v>
      </c>
      <c r="AW692" s="899">
        <f t="shared" si="43"/>
        <v>0</v>
      </c>
      <c r="AX692" s="899">
        <f>INDEX(V692:AG692,1,MATCH(Parametres!$B$3,V$1:AG$1,0))*IF(OR(C692="L",C692="S",C692="I"),-1,1)</f>
        <v>0</v>
      </c>
      <c r="AY692" s="487" t="s">
        <v>337</v>
      </c>
      <c r="AZ692" s="487" t="e">
        <f>+VLOOKUP($AJ692,Data_Validation!$A:$E,5,0)</f>
        <v>#N/A</v>
      </c>
    </row>
    <row r="693" spans="36:52" ht="15" customHeight="1">
      <c r="AJ693" s="899">
        <f t="shared" si="44"/>
        <v>0</v>
      </c>
      <c r="AK693" s="899">
        <f t="shared" si="44"/>
        <v>0</v>
      </c>
      <c r="AL693" s="905">
        <f>IFERROR(INDEX(G693:R693,1,MATCH(Parametres!$B$3,G$1:R$1,0)-1)*IF(OR(F693="L",F693="S",F693="I"),-1,1),"")</f>
        <v>0</v>
      </c>
      <c r="AM693" s="905">
        <f t="shared" si="41"/>
        <v>0</v>
      </c>
      <c r="AN693" s="905">
        <f>INDEX(G693:R693,1,MATCH(Parametres!$B$3,G$1:R$1,0))*IF(OR(F693="L",F693="S",F693="I"),-1,1)</f>
        <v>0</v>
      </c>
      <c r="AO693" s="487" t="e">
        <f>+VLOOKUP($AJ693,Data_Validation!$A:$D,1,0)</f>
        <v>#N/A</v>
      </c>
      <c r="AP693" s="487" t="e">
        <f>+VLOOKUP($AJ693,Data_Validation!$A:$D,3,0)</f>
        <v>#N/A</v>
      </c>
      <c r="AQ693" s="487" t="e">
        <f>+VLOOKUP($AJ693,Data_Validation!$A:$D,4,0)</f>
        <v>#N/A</v>
      </c>
      <c r="AR693" s="487" t="s">
        <v>299</v>
      </c>
      <c r="AS693" s="487" t="e">
        <f>+VLOOKUP($AJ693,Data_Validation!$A:$E,5,0)</f>
        <v>#N/A</v>
      </c>
      <c r="AT693" s="904">
        <f t="shared" si="42"/>
        <v>0</v>
      </c>
      <c r="AU693" s="488">
        <f t="shared" si="42"/>
        <v>0</v>
      </c>
      <c r="AV693" s="899">
        <f>IFERROR(INDEX(V693:AG693,1,MATCH(Parametres!$B$3,V$1:AG$1,0)-1)*IF(OR(C693="L",C693="S",C693="I"),-1,1),"")</f>
        <v>0</v>
      </c>
      <c r="AW693" s="899">
        <f t="shared" si="43"/>
        <v>0</v>
      </c>
      <c r="AX693" s="899">
        <f>INDEX(V693:AG693,1,MATCH(Parametres!$B$3,V$1:AG$1,0))*IF(OR(C693="L",C693="S",C693="I"),-1,1)</f>
        <v>0</v>
      </c>
      <c r="AY693" s="487" t="s">
        <v>337</v>
      </c>
      <c r="AZ693" s="487" t="e">
        <f>+VLOOKUP($AJ693,Data_Validation!$A:$E,5,0)</f>
        <v>#N/A</v>
      </c>
    </row>
    <row r="694" spans="36:52" ht="15" customHeight="1">
      <c r="AJ694" s="899">
        <f t="shared" si="44"/>
        <v>0</v>
      </c>
      <c r="AK694" s="899">
        <f t="shared" si="44"/>
        <v>0</v>
      </c>
      <c r="AL694" s="905">
        <f>IFERROR(INDEX(G694:R694,1,MATCH(Parametres!$B$3,G$1:R$1,0)-1)*IF(OR(F694="L",F694="S",F694="I"),-1,1),"")</f>
        <v>0</v>
      </c>
      <c r="AM694" s="905">
        <f t="shared" si="41"/>
        <v>0</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f t="shared" si="42"/>
        <v>0</v>
      </c>
      <c r="AU694" s="488">
        <f t="shared" si="42"/>
        <v>0</v>
      </c>
      <c r="AV694" s="899">
        <f>IFERROR(INDEX(V694:AG694,1,MATCH(Parametres!$B$3,V$1:AG$1,0)-1)*IF(OR(C694="L",C694="S",C694="I"),-1,1),"")</f>
        <v>0</v>
      </c>
      <c r="AW694" s="899">
        <f t="shared" si="43"/>
        <v>0</v>
      </c>
      <c r="AX694" s="899">
        <f>INDEX(V694:AG694,1,MATCH(Parametres!$B$3,V$1:AG$1,0))*IF(OR(C694="L",C694="S",C694="I"),-1,1)</f>
        <v>0</v>
      </c>
      <c r="AY694" s="487" t="s">
        <v>337</v>
      </c>
      <c r="AZ694" s="487" t="e">
        <f>+VLOOKUP($AJ694,Data_Validation!$A:$E,5,0)</f>
        <v>#N/A</v>
      </c>
    </row>
    <row r="695" spans="36:52" ht="15" customHeight="1">
      <c r="AJ695" s="899">
        <f t="shared" si="44"/>
        <v>0</v>
      </c>
      <c r="AK695" s="899">
        <f t="shared" si="44"/>
        <v>0</v>
      </c>
      <c r="AL695" s="905">
        <f>IFERROR(INDEX(G695:R695,1,MATCH(Parametres!$B$3,G$1:R$1,0)-1)*IF(OR(F695="L",F695="S",F695="I"),-1,1),"")</f>
        <v>0</v>
      </c>
      <c r="AM695" s="905">
        <f t="shared" si="41"/>
        <v>0</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f t="shared" si="42"/>
        <v>0</v>
      </c>
      <c r="AU695" s="488">
        <f t="shared" si="42"/>
        <v>0</v>
      </c>
      <c r="AV695" s="899">
        <f>IFERROR(INDEX(V695:AG695,1,MATCH(Parametres!$B$3,V$1:AG$1,0)-1)*IF(OR(C695="L",C695="S",C695="I"),-1,1),"")</f>
        <v>0</v>
      </c>
      <c r="AW695" s="899">
        <f t="shared" si="43"/>
        <v>0</v>
      </c>
      <c r="AX695" s="899">
        <f>INDEX(V695:AG695,1,MATCH(Parametres!$B$3,V$1:AG$1,0))*IF(OR(C695="L",C695="S",C695="I"),-1,1)</f>
        <v>0</v>
      </c>
      <c r="AY695" s="487" t="s">
        <v>337</v>
      </c>
      <c r="AZ695" s="487" t="e">
        <f>+VLOOKUP($AJ695,Data_Validation!$A:$E,5,0)</f>
        <v>#N/A</v>
      </c>
    </row>
    <row r="696" spans="36:52" ht="15" customHeight="1">
      <c r="AJ696" s="899">
        <f t="shared" si="44"/>
        <v>0</v>
      </c>
      <c r="AK696" s="899">
        <f t="shared" si="44"/>
        <v>0</v>
      </c>
      <c r="AL696" s="905">
        <f>IFERROR(INDEX(G696:R696,1,MATCH(Parametres!$B$3,G$1:R$1,0)-1)*IF(OR(F696="L",F696="S",F696="I"),-1,1),"")</f>
        <v>0</v>
      </c>
      <c r="AM696" s="905">
        <f t="shared" si="41"/>
        <v>0</v>
      </c>
      <c r="AN696" s="905">
        <f>INDEX(G696:R696,1,MATCH(Parametres!$B$3,G$1:R$1,0))*IF(OR(F696="L",F696="S",F696="I"),-1,1)</f>
        <v>0</v>
      </c>
      <c r="AO696" s="487" t="e">
        <f>+VLOOKUP($AJ696,Data_Validation!$A:$D,1,0)</f>
        <v>#N/A</v>
      </c>
      <c r="AP696" s="487" t="e">
        <f>+VLOOKUP($AJ696,Data_Validation!$A:$D,3,0)</f>
        <v>#N/A</v>
      </c>
      <c r="AQ696" s="487" t="e">
        <f>+VLOOKUP($AJ696,Data_Validation!$A:$D,4,0)</f>
        <v>#N/A</v>
      </c>
      <c r="AR696" s="487" t="s">
        <v>299</v>
      </c>
      <c r="AS696" s="487" t="e">
        <f>+VLOOKUP($AJ696,Data_Validation!$A:$E,5,0)</f>
        <v>#N/A</v>
      </c>
      <c r="AT696" s="904">
        <f t="shared" si="42"/>
        <v>0</v>
      </c>
      <c r="AU696" s="488">
        <f t="shared" si="42"/>
        <v>0</v>
      </c>
      <c r="AV696" s="899">
        <f>IFERROR(INDEX(V696:AG696,1,MATCH(Parametres!$B$3,V$1:AG$1,0)-1)*IF(OR(C696="L",C696="S",C696="I"),-1,1),"")</f>
        <v>0</v>
      </c>
      <c r="AW696" s="899">
        <f t="shared" si="43"/>
        <v>0</v>
      </c>
      <c r="AX696" s="899">
        <f>INDEX(V696:AG696,1,MATCH(Parametres!$B$3,V$1:AG$1,0))*IF(OR(C696="L",C696="S",C696="I"),-1,1)</f>
        <v>0</v>
      </c>
      <c r="AY696" s="487" t="s">
        <v>337</v>
      </c>
      <c r="AZ696" s="487" t="e">
        <f>+VLOOKUP($AJ696,Data_Validation!$A:$E,5,0)</f>
        <v>#N/A</v>
      </c>
    </row>
    <row r="697" spans="36:52" ht="15" customHeight="1">
      <c r="AJ697" s="899">
        <f t="shared" si="44"/>
        <v>0</v>
      </c>
      <c r="AK697" s="899">
        <f t="shared" si="44"/>
        <v>0</v>
      </c>
      <c r="AL697" s="905">
        <f>IFERROR(INDEX(G697:R697,1,MATCH(Parametres!$B$3,G$1:R$1,0)-1)*IF(OR(F697="L",F697="S",F697="I"),-1,1),"")</f>
        <v>0</v>
      </c>
      <c r="AM697" s="905">
        <f t="shared" si="41"/>
        <v>0</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f t="shared" si="42"/>
        <v>0</v>
      </c>
      <c r="AU697" s="488">
        <f t="shared" si="42"/>
        <v>0</v>
      </c>
      <c r="AV697" s="899">
        <f>IFERROR(INDEX(V697:AG697,1,MATCH(Parametres!$B$3,V$1:AG$1,0)-1)*IF(OR(C697="L",C697="S",C697="I"),-1,1),"")</f>
        <v>0</v>
      </c>
      <c r="AW697" s="899">
        <f t="shared" si="43"/>
        <v>0</v>
      </c>
      <c r="AX697" s="899">
        <f>INDEX(V697:AG697,1,MATCH(Parametres!$B$3,V$1:AG$1,0))*IF(OR(C697="L",C697="S",C697="I"),-1,1)</f>
        <v>0</v>
      </c>
      <c r="AY697" s="487" t="s">
        <v>337</v>
      </c>
      <c r="AZ697" s="487" t="e">
        <f>+VLOOKUP($AJ697,Data_Validation!$A:$E,5,0)</f>
        <v>#N/A</v>
      </c>
    </row>
    <row r="698" spans="36:52" ht="15" customHeight="1">
      <c r="AJ698" s="899">
        <f t="shared" si="44"/>
        <v>0</v>
      </c>
      <c r="AK698" s="899">
        <f t="shared" si="44"/>
        <v>0</v>
      </c>
      <c r="AL698" s="905">
        <f>IFERROR(INDEX(G698:R698,1,MATCH(Parametres!$B$3,G$1:R$1,0)-1)*IF(OR(F698="L",F698="S",F698="I"),-1,1),"")</f>
        <v>0</v>
      </c>
      <c r="AM698" s="905">
        <f t="shared" si="41"/>
        <v>0</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f t="shared" si="42"/>
        <v>0</v>
      </c>
      <c r="AU698" s="488">
        <f t="shared" si="42"/>
        <v>0</v>
      </c>
      <c r="AV698" s="899">
        <f>IFERROR(INDEX(V698:AG698,1,MATCH(Parametres!$B$3,V$1:AG$1,0)-1)*IF(OR(C698="L",C698="S",C698="I"),-1,1),"")</f>
        <v>0</v>
      </c>
      <c r="AW698" s="899">
        <f t="shared" si="43"/>
        <v>0</v>
      </c>
      <c r="AX698" s="899">
        <f>INDEX(V698:AG698,1,MATCH(Parametres!$B$3,V$1:AG$1,0))*IF(OR(C698="L",C698="S",C698="I"),-1,1)</f>
        <v>0</v>
      </c>
      <c r="AY698" s="487" t="s">
        <v>337</v>
      </c>
      <c r="AZ698" s="487" t="e">
        <f>+VLOOKUP($AJ698,Data_Validation!$A:$E,5,0)</f>
        <v>#N/A</v>
      </c>
    </row>
    <row r="699" spans="36:52" ht="15" customHeight="1">
      <c r="AJ699" s="899">
        <f t="shared" si="44"/>
        <v>0</v>
      </c>
      <c r="AK699" s="899">
        <f t="shared" si="44"/>
        <v>0</v>
      </c>
      <c r="AL699" s="905">
        <f>IFERROR(INDEX(G699:R699,1,MATCH(Parametres!$B$3,G$1:R$1,0)-1)*IF(OR(F699="L",F699="S",F699="I"),-1,1),"")</f>
        <v>0</v>
      </c>
      <c r="AM699" s="905">
        <f t="shared" si="41"/>
        <v>0</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f t="shared" si="42"/>
        <v>0</v>
      </c>
      <c r="AU699" s="488">
        <f t="shared" si="42"/>
        <v>0</v>
      </c>
      <c r="AV699" s="899">
        <f>IFERROR(INDEX(V699:AG699,1,MATCH(Parametres!$B$3,V$1:AG$1,0)-1)*IF(OR(C699="L",C699="S",C699="I"),-1,1),"")</f>
        <v>0</v>
      </c>
      <c r="AW699" s="899">
        <f t="shared" si="43"/>
        <v>0</v>
      </c>
      <c r="AX699" s="899">
        <f>INDEX(V699:AG699,1,MATCH(Parametres!$B$3,V$1:AG$1,0))*IF(OR(C699="L",C699="S",C699="I"),-1,1)</f>
        <v>0</v>
      </c>
      <c r="AY699" s="487" t="s">
        <v>337</v>
      </c>
      <c r="AZ699" s="487" t="e">
        <f>+VLOOKUP($AJ699,Data_Validation!$A:$E,5,0)</f>
        <v>#N/A</v>
      </c>
    </row>
    <row r="700" spans="36:52" ht="15" customHeight="1">
      <c r="AJ700" s="899">
        <f t="shared" si="44"/>
        <v>0</v>
      </c>
      <c r="AK700" s="899">
        <f t="shared" si="44"/>
        <v>0</v>
      </c>
      <c r="AL700" s="905">
        <f>IFERROR(INDEX(G700:R700,1,MATCH(Parametres!$B$3,G$1:R$1,0)-1)*IF(OR(F700="L",F700="S",F700="I"),-1,1),"")</f>
        <v>0</v>
      </c>
      <c r="AM700" s="905">
        <f t="shared" si="41"/>
        <v>0</v>
      </c>
      <c r="AN700" s="905">
        <f>INDEX(G700:R700,1,MATCH(Parametres!$B$3,G$1:R$1,0))*IF(OR(F700="L",F700="S",F700="I"),-1,1)</f>
        <v>0</v>
      </c>
      <c r="AO700" s="487" t="e">
        <f>+VLOOKUP($AJ700,Data_Validation!$A:$D,1,0)</f>
        <v>#N/A</v>
      </c>
      <c r="AP700" s="487" t="e">
        <f>+VLOOKUP($AJ700,Data_Validation!$A:$D,3,0)</f>
        <v>#N/A</v>
      </c>
      <c r="AQ700" s="487" t="e">
        <f>+VLOOKUP($AJ700,Data_Validation!$A:$D,4,0)</f>
        <v>#N/A</v>
      </c>
      <c r="AR700" s="487" t="s">
        <v>299</v>
      </c>
      <c r="AS700" s="487" t="e">
        <f>+VLOOKUP($AJ700,Data_Validation!$A:$E,5,0)</f>
        <v>#N/A</v>
      </c>
      <c r="AT700" s="904">
        <f t="shared" si="42"/>
        <v>0</v>
      </c>
      <c r="AU700" s="488">
        <f t="shared" si="42"/>
        <v>0</v>
      </c>
      <c r="AV700" s="899">
        <f>IFERROR(INDEX(V700:AG700,1,MATCH(Parametres!$B$3,V$1:AG$1,0)-1)*IF(OR(C700="L",C700="S",C700="I"),-1,1),"")</f>
        <v>0</v>
      </c>
      <c r="AW700" s="899">
        <f t="shared" si="43"/>
        <v>0</v>
      </c>
      <c r="AX700" s="899">
        <f>INDEX(V700:AG700,1,MATCH(Parametres!$B$3,V$1:AG$1,0))*IF(OR(C700="L",C700="S",C700="I"),-1,1)</f>
        <v>0</v>
      </c>
      <c r="AY700" s="487" t="s">
        <v>337</v>
      </c>
      <c r="AZ700" s="487" t="e">
        <f>+VLOOKUP($AJ700,Data_Validation!$A:$E,5,0)</f>
        <v>#N/A</v>
      </c>
    </row>
    <row r="701" spans="36:52" ht="15" customHeight="1">
      <c r="AJ701" s="899">
        <f t="shared" si="44"/>
        <v>0</v>
      </c>
      <c r="AK701" s="899">
        <f t="shared" si="44"/>
        <v>0</v>
      </c>
      <c r="AL701" s="905">
        <f>IFERROR(INDEX(G701:R701,1,MATCH(Parametres!$B$3,G$1:R$1,0)-1)*IF(OR(F701="L",F701="S",F701="I"),-1,1),"")</f>
        <v>0</v>
      </c>
      <c r="AM701" s="905">
        <f t="shared" si="41"/>
        <v>0</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f t="shared" si="42"/>
        <v>0</v>
      </c>
      <c r="AU701" s="488">
        <f t="shared" si="42"/>
        <v>0</v>
      </c>
      <c r="AV701" s="899">
        <f>IFERROR(INDEX(V701:AG701,1,MATCH(Parametres!$B$3,V$1:AG$1,0)-1)*IF(OR(C701="L",C701="S",C701="I"),-1,1),"")</f>
        <v>0</v>
      </c>
      <c r="AW701" s="899">
        <f t="shared" si="43"/>
        <v>0</v>
      </c>
      <c r="AX701" s="899">
        <f>INDEX(V701:AG701,1,MATCH(Parametres!$B$3,V$1:AG$1,0))*IF(OR(C701="L",C701="S",C701="I"),-1,1)</f>
        <v>0</v>
      </c>
      <c r="AY701" s="487" t="s">
        <v>337</v>
      </c>
      <c r="AZ701" s="487" t="e">
        <f>+VLOOKUP($AJ701,Data_Validation!$A:$E,5,0)</f>
        <v>#N/A</v>
      </c>
    </row>
    <row r="702" spans="36:52" ht="15" customHeight="1">
      <c r="AJ702" s="899">
        <f t="shared" si="44"/>
        <v>0</v>
      </c>
      <c r="AK702" s="899">
        <f t="shared" si="44"/>
        <v>0</v>
      </c>
      <c r="AL702" s="905">
        <f>IFERROR(INDEX(G702:R702,1,MATCH(Parametres!$B$3,G$1:R$1,0)-1)*IF(OR(F702="L",F702="S",F702="I"),-1,1),"")</f>
        <v>0</v>
      </c>
      <c r="AM702" s="905">
        <f t="shared" si="41"/>
        <v>0</v>
      </c>
      <c r="AN702" s="905">
        <f>INDEX(G702:R702,1,MATCH(Parametres!$B$3,G$1:R$1,0))*IF(OR(F702="L",F702="S",F702="I"),-1,1)</f>
        <v>0</v>
      </c>
      <c r="AO702" s="487" t="e">
        <f>+VLOOKUP($AJ702,Data_Validation!$A:$D,1,0)</f>
        <v>#N/A</v>
      </c>
      <c r="AP702" s="487" t="e">
        <f>+VLOOKUP($AJ702,Data_Validation!$A:$D,3,0)</f>
        <v>#N/A</v>
      </c>
      <c r="AQ702" s="487" t="e">
        <f>+VLOOKUP($AJ702,Data_Validation!$A:$D,4,0)</f>
        <v>#N/A</v>
      </c>
      <c r="AR702" s="487" t="s">
        <v>299</v>
      </c>
      <c r="AS702" s="487" t="e">
        <f>+VLOOKUP($AJ702,Data_Validation!$A:$E,5,0)</f>
        <v>#N/A</v>
      </c>
      <c r="AT702" s="904">
        <f t="shared" si="42"/>
        <v>0</v>
      </c>
      <c r="AU702" s="488">
        <f t="shared" si="42"/>
        <v>0</v>
      </c>
      <c r="AV702" s="899">
        <f>IFERROR(INDEX(V702:AG702,1,MATCH(Parametres!$B$3,V$1:AG$1,0)-1)*IF(OR(C702="L",C702="S",C702="I"),-1,1),"")</f>
        <v>0</v>
      </c>
      <c r="AW702" s="899">
        <f t="shared" si="43"/>
        <v>0</v>
      </c>
      <c r="AX702" s="899">
        <f>INDEX(V702:AG702,1,MATCH(Parametres!$B$3,V$1:AG$1,0))*IF(OR(C702="L",C702="S",C702="I"),-1,1)</f>
        <v>0</v>
      </c>
      <c r="AY702" s="487" t="s">
        <v>337</v>
      </c>
      <c r="AZ702" s="487" t="e">
        <f>+VLOOKUP($AJ702,Data_Validation!$A:$E,5,0)</f>
        <v>#N/A</v>
      </c>
    </row>
    <row r="703" spans="36:52" ht="15" customHeight="1">
      <c r="AJ703" s="899">
        <f t="shared" si="44"/>
        <v>0</v>
      </c>
      <c r="AK703" s="899">
        <f t="shared" si="44"/>
        <v>0</v>
      </c>
      <c r="AL703" s="905">
        <f>IFERROR(INDEX(G703:R703,1,MATCH(Parametres!$B$3,G$1:R$1,0)-1)*IF(OR(F703="L",F703="S",F703="I"),-1,1),"")</f>
        <v>0</v>
      </c>
      <c r="AM703" s="905">
        <f t="shared" si="41"/>
        <v>0</v>
      </c>
      <c r="AN703" s="905">
        <f>INDEX(G703:R703,1,MATCH(Parametres!$B$3,G$1:R$1,0))*IF(OR(F703="L",F703="S",F703="I"),-1,1)</f>
        <v>0</v>
      </c>
      <c r="AO703" s="487" t="e">
        <f>+VLOOKUP($AJ703,Data_Validation!$A:$D,1,0)</f>
        <v>#N/A</v>
      </c>
      <c r="AP703" s="487" t="e">
        <f>+VLOOKUP($AJ703,Data_Validation!$A:$D,3,0)</f>
        <v>#N/A</v>
      </c>
      <c r="AQ703" s="487" t="e">
        <f>+VLOOKUP($AJ703,Data_Validation!$A:$D,4,0)</f>
        <v>#N/A</v>
      </c>
      <c r="AR703" s="487" t="s">
        <v>299</v>
      </c>
      <c r="AS703" s="487" t="e">
        <f>+VLOOKUP($AJ703,Data_Validation!$A:$E,5,0)</f>
        <v>#N/A</v>
      </c>
      <c r="AT703" s="904">
        <f t="shared" si="42"/>
        <v>0</v>
      </c>
      <c r="AU703" s="488">
        <f t="shared" si="42"/>
        <v>0</v>
      </c>
      <c r="AV703" s="899">
        <f>IFERROR(INDEX(V703:AG703,1,MATCH(Parametres!$B$3,V$1:AG$1,0)-1)*IF(OR(C703="L",C703="S",C703="I"),-1,1),"")</f>
        <v>0</v>
      </c>
      <c r="AW703" s="899">
        <f t="shared" si="43"/>
        <v>0</v>
      </c>
      <c r="AX703" s="899">
        <f>INDEX(V703:AG703,1,MATCH(Parametres!$B$3,V$1:AG$1,0))*IF(OR(C703="L",C703="S",C703="I"),-1,1)</f>
        <v>0</v>
      </c>
      <c r="AY703" s="487" t="s">
        <v>337</v>
      </c>
      <c r="AZ703" s="487" t="e">
        <f>+VLOOKUP($AJ703,Data_Validation!$A:$E,5,0)</f>
        <v>#N/A</v>
      </c>
    </row>
    <row r="704" spans="36:52" ht="15" customHeight="1">
      <c r="AJ704" s="899">
        <f t="shared" si="44"/>
        <v>0</v>
      </c>
      <c r="AK704" s="899">
        <f t="shared" si="44"/>
        <v>0</v>
      </c>
      <c r="AL704" s="905">
        <f>IFERROR(INDEX(G704:R704,1,MATCH(Parametres!$B$3,G$1:R$1,0)-1)*IF(OR(F704="L",F704="S",F704="I"),-1,1),"")</f>
        <v>0</v>
      </c>
      <c r="AM704" s="905">
        <f t="shared" si="41"/>
        <v>0</v>
      </c>
      <c r="AN704" s="905">
        <f>INDEX(G704:R704,1,MATCH(Parametres!$B$3,G$1:R$1,0))*IF(OR(F704="L",F704="S",F704="I"),-1,1)</f>
        <v>0</v>
      </c>
      <c r="AO704" s="487" t="e">
        <f>+VLOOKUP($AJ704,Data_Validation!$A:$D,1,0)</f>
        <v>#N/A</v>
      </c>
      <c r="AP704" s="487" t="e">
        <f>+VLOOKUP($AJ704,Data_Validation!$A:$D,3,0)</f>
        <v>#N/A</v>
      </c>
      <c r="AQ704" s="487" t="e">
        <f>+VLOOKUP($AJ704,Data_Validation!$A:$D,4,0)</f>
        <v>#N/A</v>
      </c>
      <c r="AR704" s="487" t="s">
        <v>299</v>
      </c>
      <c r="AS704" s="487" t="e">
        <f>+VLOOKUP($AJ704,Data_Validation!$A:$E,5,0)</f>
        <v>#N/A</v>
      </c>
      <c r="AT704" s="904">
        <f t="shared" si="42"/>
        <v>0</v>
      </c>
      <c r="AU704" s="488">
        <f t="shared" si="42"/>
        <v>0</v>
      </c>
      <c r="AV704" s="899">
        <f>IFERROR(INDEX(V704:AG704,1,MATCH(Parametres!$B$3,V$1:AG$1,0)-1)*IF(OR(C704="L",C704="S",C704="I"),-1,1),"")</f>
        <v>0</v>
      </c>
      <c r="AW704" s="899">
        <f t="shared" si="43"/>
        <v>0</v>
      </c>
      <c r="AX704" s="899">
        <f>INDEX(V704:AG704,1,MATCH(Parametres!$B$3,V$1:AG$1,0))*IF(OR(C704="L",C704="S",C704="I"),-1,1)</f>
        <v>0</v>
      </c>
      <c r="AY704" s="487" t="s">
        <v>337</v>
      </c>
      <c r="AZ704" s="487" t="e">
        <f>+VLOOKUP($AJ704,Data_Validation!$A:$E,5,0)</f>
        <v>#N/A</v>
      </c>
    </row>
    <row r="705" spans="36:52" ht="15" customHeight="1">
      <c r="AJ705" s="899">
        <f t="shared" si="44"/>
        <v>0</v>
      </c>
      <c r="AK705" s="899">
        <f t="shared" si="44"/>
        <v>0</v>
      </c>
      <c r="AL705" s="905">
        <f>IFERROR(INDEX(G705:R705,1,MATCH(Parametres!$B$3,G$1:R$1,0)-1)*IF(OR(F705="L",F705="S",F705="I"),-1,1),"")</f>
        <v>0</v>
      </c>
      <c r="AM705" s="905">
        <f t="shared" si="41"/>
        <v>0</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f t="shared" si="42"/>
        <v>0</v>
      </c>
      <c r="AU705" s="488">
        <f t="shared" si="42"/>
        <v>0</v>
      </c>
      <c r="AV705" s="899">
        <f>IFERROR(INDEX(V705:AG705,1,MATCH(Parametres!$B$3,V$1:AG$1,0)-1)*IF(OR(C705="L",C705="S",C705="I"),-1,1),"")</f>
        <v>0</v>
      </c>
      <c r="AW705" s="899">
        <f t="shared" si="43"/>
        <v>0</v>
      </c>
      <c r="AX705" s="899">
        <f>INDEX(V705:AG705,1,MATCH(Parametres!$B$3,V$1:AG$1,0))*IF(OR(C705="L",C705="S",C705="I"),-1,1)</f>
        <v>0</v>
      </c>
      <c r="AY705" s="487" t="s">
        <v>337</v>
      </c>
      <c r="AZ705" s="487" t="e">
        <f>+VLOOKUP($AJ705,Data_Validation!$A:$E,5,0)</f>
        <v>#N/A</v>
      </c>
    </row>
    <row r="706" spans="36:52" ht="15" customHeight="1">
      <c r="AJ706" s="899">
        <f t="shared" si="44"/>
        <v>0</v>
      </c>
      <c r="AK706" s="899">
        <f t="shared" si="44"/>
        <v>0</v>
      </c>
      <c r="AL706" s="905">
        <f>IFERROR(INDEX(G706:R706,1,MATCH(Parametres!$B$3,G$1:R$1,0)-1)*IF(OR(F706="L",F706="S",F706="I"),-1,1),"")</f>
        <v>0</v>
      </c>
      <c r="AM706" s="905">
        <f t="shared" si="41"/>
        <v>0</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f t="shared" si="42"/>
        <v>0</v>
      </c>
      <c r="AU706" s="488">
        <f t="shared" si="42"/>
        <v>0</v>
      </c>
      <c r="AV706" s="899">
        <f>IFERROR(INDEX(V706:AG706,1,MATCH(Parametres!$B$3,V$1:AG$1,0)-1)*IF(OR(C706="L",C706="S",C706="I"),-1,1),"")</f>
        <v>0</v>
      </c>
      <c r="AW706" s="899">
        <f t="shared" si="43"/>
        <v>0</v>
      </c>
      <c r="AX706" s="899">
        <f>INDEX(V706:AG706,1,MATCH(Parametres!$B$3,V$1:AG$1,0))*IF(OR(C706="L",C706="S",C706="I"),-1,1)</f>
        <v>0</v>
      </c>
      <c r="AY706" s="487" t="s">
        <v>337</v>
      </c>
      <c r="AZ706" s="487" t="e">
        <f>+VLOOKUP($AJ706,Data_Validation!$A:$E,5,0)</f>
        <v>#N/A</v>
      </c>
    </row>
    <row r="707" spans="36:52" ht="15" customHeight="1">
      <c r="AJ707" s="899">
        <f t="shared" si="44"/>
        <v>0</v>
      </c>
      <c r="AK707" s="899">
        <f t="shared" si="44"/>
        <v>0</v>
      </c>
      <c r="AL707" s="905">
        <f>IFERROR(INDEX(G707:R707,1,MATCH(Parametres!$B$3,G$1:R$1,0)-1)*IF(OR(F707="L",F707="S",F707="I"),-1,1),"")</f>
        <v>0</v>
      </c>
      <c r="AM707" s="905">
        <f t="shared" si="41"/>
        <v>0</v>
      </c>
      <c r="AN707" s="905">
        <f>INDEX(G707:R707,1,MATCH(Parametres!$B$3,G$1:R$1,0))*IF(OR(F707="L",F707="S",F707="I"),-1,1)</f>
        <v>0</v>
      </c>
      <c r="AO707" s="487" t="e">
        <f>+VLOOKUP($AJ707,Data_Validation!$A:$D,1,0)</f>
        <v>#N/A</v>
      </c>
      <c r="AP707" s="487" t="e">
        <f>+VLOOKUP($AJ707,Data_Validation!$A:$D,3,0)</f>
        <v>#N/A</v>
      </c>
      <c r="AQ707" s="487" t="e">
        <f>+VLOOKUP($AJ707,Data_Validation!$A:$D,4,0)</f>
        <v>#N/A</v>
      </c>
      <c r="AR707" s="487" t="s">
        <v>299</v>
      </c>
      <c r="AS707" s="487" t="e">
        <f>+VLOOKUP($AJ707,Data_Validation!$A:$E,5,0)</f>
        <v>#N/A</v>
      </c>
      <c r="AT707" s="904">
        <f t="shared" si="42"/>
        <v>0</v>
      </c>
      <c r="AU707" s="488">
        <f t="shared" si="42"/>
        <v>0</v>
      </c>
      <c r="AV707" s="899">
        <f>IFERROR(INDEX(V707:AG707,1,MATCH(Parametres!$B$3,V$1:AG$1,0)-1)*IF(OR(C707="L",C707="S",C707="I"),-1,1),"")</f>
        <v>0</v>
      </c>
      <c r="AW707" s="899">
        <f t="shared" si="43"/>
        <v>0</v>
      </c>
      <c r="AX707" s="899">
        <f>INDEX(V707:AG707,1,MATCH(Parametres!$B$3,V$1:AG$1,0))*IF(OR(C707="L",C707="S",C707="I"),-1,1)</f>
        <v>0</v>
      </c>
      <c r="AY707" s="487" t="s">
        <v>337</v>
      </c>
      <c r="AZ707" s="487" t="e">
        <f>+VLOOKUP($AJ707,Data_Validation!$A:$E,5,0)</f>
        <v>#N/A</v>
      </c>
    </row>
    <row r="708" spans="36:52" ht="15" customHeight="1">
      <c r="AJ708" s="899">
        <f t="shared" si="44"/>
        <v>0</v>
      </c>
      <c r="AK708" s="899">
        <f t="shared" si="44"/>
        <v>0</v>
      </c>
      <c r="AL708" s="905">
        <f>IFERROR(INDEX(G708:R708,1,MATCH(Parametres!$B$3,G$1:R$1,0)-1)*IF(OR(F708="L",F708="S",F708="I"),-1,1),"")</f>
        <v>0</v>
      </c>
      <c r="AM708" s="905">
        <f t="shared" ref="AM708:AM771" si="45">AN708-AL708</f>
        <v>0</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f t="shared" ref="AT708:AU771" si="46">C708</f>
        <v>0</v>
      </c>
      <c r="AU708" s="488">
        <f t="shared" si="46"/>
        <v>0</v>
      </c>
      <c r="AV708" s="899">
        <f>IFERROR(INDEX(V708:AG708,1,MATCH(Parametres!$B$3,V$1:AG$1,0)-1)*IF(OR(C708="L",C708="S",C708="I"),-1,1),"")</f>
        <v>0</v>
      </c>
      <c r="AW708" s="899">
        <f t="shared" ref="AW708:AW771" si="47">AX708-AV708</f>
        <v>0</v>
      </c>
      <c r="AX708" s="899">
        <f>INDEX(V708:AG708,1,MATCH(Parametres!$B$3,V$1:AG$1,0))*IF(OR(C708="L",C708="S",C708="I"),-1,1)</f>
        <v>0</v>
      </c>
      <c r="AY708" s="487" t="s">
        <v>337</v>
      </c>
      <c r="AZ708" s="487" t="e">
        <f>+VLOOKUP($AJ708,Data_Validation!$A:$E,5,0)</f>
        <v>#N/A</v>
      </c>
    </row>
    <row r="709" spans="36:52" ht="15" customHeight="1">
      <c r="AJ709" s="899">
        <f t="shared" si="44"/>
        <v>0</v>
      </c>
      <c r="AK709" s="899">
        <f t="shared" si="44"/>
        <v>0</v>
      </c>
      <c r="AL709" s="905">
        <f>IFERROR(INDEX(G709:R709,1,MATCH(Parametres!$B$3,G$1:R$1,0)-1)*IF(OR(F709="L",F709="S",F709="I"),-1,1),"")</f>
        <v>0</v>
      </c>
      <c r="AM709" s="905">
        <f t="shared" si="45"/>
        <v>0</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f t="shared" si="46"/>
        <v>0</v>
      </c>
      <c r="AU709" s="488">
        <f t="shared" si="46"/>
        <v>0</v>
      </c>
      <c r="AV709" s="899">
        <f>IFERROR(INDEX(V709:AG709,1,MATCH(Parametres!$B$3,V$1:AG$1,0)-1)*IF(OR(C709="L",C709="S",C709="I"),-1,1),"")</f>
        <v>0</v>
      </c>
      <c r="AW709" s="899">
        <f t="shared" si="47"/>
        <v>0</v>
      </c>
      <c r="AX709" s="899">
        <f>INDEX(V709:AG709,1,MATCH(Parametres!$B$3,V$1:AG$1,0))*IF(OR(C709="L",C709="S",C709="I"),-1,1)</f>
        <v>0</v>
      </c>
      <c r="AY709" s="487" t="s">
        <v>337</v>
      </c>
      <c r="AZ709" s="487" t="e">
        <f>+VLOOKUP($AJ709,Data_Validation!$A:$E,5,0)</f>
        <v>#N/A</v>
      </c>
    </row>
    <row r="710" spans="36:52" ht="15" customHeight="1">
      <c r="AJ710" s="899">
        <f t="shared" si="44"/>
        <v>0</v>
      </c>
      <c r="AK710" s="899">
        <f t="shared" si="44"/>
        <v>0</v>
      </c>
      <c r="AL710" s="905">
        <f>IFERROR(INDEX(G710:R710,1,MATCH(Parametres!$B$3,G$1:R$1,0)-1)*IF(OR(F710="L",F710="S",F710="I"),-1,1),"")</f>
        <v>0</v>
      </c>
      <c r="AM710" s="905">
        <f t="shared" si="45"/>
        <v>0</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f t="shared" si="46"/>
        <v>0</v>
      </c>
      <c r="AU710" s="488">
        <f t="shared" si="46"/>
        <v>0</v>
      </c>
      <c r="AV710" s="899">
        <f>IFERROR(INDEX(V710:AG710,1,MATCH(Parametres!$B$3,V$1:AG$1,0)-1)*IF(OR(C710="L",C710="S",C710="I"),-1,1),"")</f>
        <v>0</v>
      </c>
      <c r="AW710" s="899">
        <f t="shared" si="47"/>
        <v>0</v>
      </c>
      <c r="AX710" s="899">
        <f>INDEX(V710:AG710,1,MATCH(Parametres!$B$3,V$1:AG$1,0))*IF(OR(C710="L",C710="S",C710="I"),-1,1)</f>
        <v>0</v>
      </c>
      <c r="AY710" s="487" t="s">
        <v>337</v>
      </c>
      <c r="AZ710" s="487" t="e">
        <f>+VLOOKUP($AJ710,Data_Validation!$A:$E,5,0)</f>
        <v>#N/A</v>
      </c>
    </row>
    <row r="711" spans="36:52" ht="15" customHeight="1">
      <c r="AJ711" s="899">
        <f t="shared" si="44"/>
        <v>0</v>
      </c>
      <c r="AK711" s="899">
        <f t="shared" si="44"/>
        <v>0</v>
      </c>
      <c r="AL711" s="905">
        <f>IFERROR(INDEX(G711:R711,1,MATCH(Parametres!$B$3,G$1:R$1,0)-1)*IF(OR(F711="L",F711="S",F711="I"),-1,1),"")</f>
        <v>0</v>
      </c>
      <c r="AM711" s="905">
        <f t="shared" si="45"/>
        <v>0</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f t="shared" si="46"/>
        <v>0</v>
      </c>
      <c r="AU711" s="488">
        <f t="shared" si="46"/>
        <v>0</v>
      </c>
      <c r="AV711" s="899">
        <f>IFERROR(INDEX(V711:AG711,1,MATCH(Parametres!$B$3,V$1:AG$1,0)-1)*IF(OR(C711="L",C711="S",C711="I"),-1,1),"")</f>
        <v>0</v>
      </c>
      <c r="AW711" s="899">
        <f t="shared" si="47"/>
        <v>0</v>
      </c>
      <c r="AX711" s="899">
        <f>INDEX(V711:AG711,1,MATCH(Parametres!$B$3,V$1:AG$1,0))*IF(OR(C711="L",C711="S",C711="I"),-1,1)</f>
        <v>0</v>
      </c>
      <c r="AY711" s="487" t="s">
        <v>337</v>
      </c>
      <c r="AZ711" s="487" t="e">
        <f>+VLOOKUP($AJ711,Data_Validation!$A:$E,5,0)</f>
        <v>#N/A</v>
      </c>
    </row>
    <row r="712" spans="36:52" ht="15" customHeight="1">
      <c r="AJ712" s="899">
        <f t="shared" si="44"/>
        <v>0</v>
      </c>
      <c r="AK712" s="899">
        <f t="shared" si="44"/>
        <v>0</v>
      </c>
      <c r="AL712" s="905">
        <f>IFERROR(INDEX(G712:R712,1,MATCH(Parametres!$B$3,G$1:R$1,0)-1)*IF(OR(F712="L",F712="S",F712="I"),-1,1),"")</f>
        <v>0</v>
      </c>
      <c r="AM712" s="905">
        <f t="shared" si="45"/>
        <v>0</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f t="shared" si="46"/>
        <v>0</v>
      </c>
      <c r="AU712" s="488">
        <f t="shared" si="46"/>
        <v>0</v>
      </c>
      <c r="AV712" s="899">
        <f>IFERROR(INDEX(V712:AG712,1,MATCH(Parametres!$B$3,V$1:AG$1,0)-1)*IF(OR(C712="L",C712="S",C712="I"),-1,1),"")</f>
        <v>0</v>
      </c>
      <c r="AW712" s="899">
        <f t="shared" si="47"/>
        <v>0</v>
      </c>
      <c r="AX712" s="899">
        <f>INDEX(V712:AG712,1,MATCH(Parametres!$B$3,V$1:AG$1,0))*IF(OR(C712="L",C712="S",C712="I"),-1,1)</f>
        <v>0</v>
      </c>
      <c r="AY712" s="487" t="s">
        <v>337</v>
      </c>
      <c r="AZ712" s="487" t="e">
        <f>+VLOOKUP($AJ712,Data_Validation!$A:$E,5,0)</f>
        <v>#N/A</v>
      </c>
    </row>
    <row r="713" spans="36:52" ht="15" customHeight="1">
      <c r="AJ713" s="899">
        <f t="shared" si="44"/>
        <v>0</v>
      </c>
      <c r="AK713" s="899">
        <f t="shared" si="44"/>
        <v>0</v>
      </c>
      <c r="AL713" s="905">
        <f>IFERROR(INDEX(G713:R713,1,MATCH(Parametres!$B$3,G$1:R$1,0)-1)*IF(OR(F713="L",F713="S",F713="I"),-1,1),"")</f>
        <v>0</v>
      </c>
      <c r="AM713" s="905">
        <f t="shared" si="45"/>
        <v>0</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f t="shared" si="46"/>
        <v>0</v>
      </c>
      <c r="AU713" s="488">
        <f t="shared" si="46"/>
        <v>0</v>
      </c>
      <c r="AV713" s="899">
        <f>IFERROR(INDEX(V713:AG713,1,MATCH(Parametres!$B$3,V$1:AG$1,0)-1)*IF(OR(C713="L",C713="S",C713="I"),-1,1),"")</f>
        <v>0</v>
      </c>
      <c r="AW713" s="899">
        <f t="shared" si="47"/>
        <v>0</v>
      </c>
      <c r="AX713" s="899">
        <f>INDEX(V713:AG713,1,MATCH(Parametres!$B$3,V$1:AG$1,0))*IF(OR(C713="L",C713="S",C713="I"),-1,1)</f>
        <v>0</v>
      </c>
      <c r="AY713" s="487" t="s">
        <v>337</v>
      </c>
      <c r="AZ713" s="487" t="e">
        <f>+VLOOKUP($AJ713,Data_Validation!$A:$E,5,0)</f>
        <v>#N/A</v>
      </c>
    </row>
    <row r="714" spans="36:52" ht="15" customHeight="1">
      <c r="AJ714" s="899">
        <f t="shared" si="44"/>
        <v>0</v>
      </c>
      <c r="AK714" s="899">
        <f t="shared" si="44"/>
        <v>0</v>
      </c>
      <c r="AL714" s="905">
        <f>IFERROR(INDEX(G714:R714,1,MATCH(Parametres!$B$3,G$1:R$1,0)-1)*IF(OR(F714="L",F714="S",F714="I"),-1,1),"")</f>
        <v>0</v>
      </c>
      <c r="AM714" s="905">
        <f t="shared" si="45"/>
        <v>0</v>
      </c>
      <c r="AN714" s="905">
        <f>INDEX(G714:R714,1,MATCH(Parametres!$B$3,G$1:R$1,0))*IF(OR(F714="L",F714="S",F714="I"),-1,1)</f>
        <v>0</v>
      </c>
      <c r="AO714" s="487" t="e">
        <f>+VLOOKUP($AJ714,Data_Validation!$A:$D,1,0)</f>
        <v>#N/A</v>
      </c>
      <c r="AP714" s="487" t="e">
        <f>+VLOOKUP($AJ714,Data_Validation!$A:$D,3,0)</f>
        <v>#N/A</v>
      </c>
      <c r="AQ714" s="487" t="e">
        <f>+VLOOKUP($AJ714,Data_Validation!$A:$D,4,0)</f>
        <v>#N/A</v>
      </c>
      <c r="AR714" s="487" t="s">
        <v>299</v>
      </c>
      <c r="AS714" s="487" t="e">
        <f>+VLOOKUP($AJ714,Data_Validation!$A:$E,5,0)</f>
        <v>#N/A</v>
      </c>
      <c r="AT714" s="904">
        <f t="shared" si="46"/>
        <v>0</v>
      </c>
      <c r="AU714" s="488">
        <f t="shared" si="46"/>
        <v>0</v>
      </c>
      <c r="AV714" s="899">
        <f>IFERROR(INDEX(V714:AG714,1,MATCH(Parametres!$B$3,V$1:AG$1,0)-1)*IF(OR(C714="L",C714="S",C714="I"),-1,1),"")</f>
        <v>0</v>
      </c>
      <c r="AW714" s="899">
        <f t="shared" si="47"/>
        <v>0</v>
      </c>
      <c r="AX714" s="899">
        <f>INDEX(V714:AG714,1,MATCH(Parametres!$B$3,V$1:AG$1,0))*IF(OR(C714="L",C714="S",C714="I"),-1,1)</f>
        <v>0</v>
      </c>
      <c r="AY714" s="487" t="s">
        <v>337</v>
      </c>
      <c r="AZ714" s="487" t="e">
        <f>+VLOOKUP($AJ714,Data_Validation!$A:$E,5,0)</f>
        <v>#N/A</v>
      </c>
    </row>
    <row r="715" spans="36:52" ht="15" customHeight="1">
      <c r="AJ715" s="899">
        <f t="shared" si="44"/>
        <v>0</v>
      </c>
      <c r="AK715" s="899">
        <f t="shared" si="44"/>
        <v>0</v>
      </c>
      <c r="AL715" s="905">
        <f>IFERROR(INDEX(G715:R715,1,MATCH(Parametres!$B$3,G$1:R$1,0)-1)*IF(OR(F715="L",F715="S",F715="I"),-1,1),"")</f>
        <v>0</v>
      </c>
      <c r="AM715" s="905">
        <f t="shared" si="45"/>
        <v>0</v>
      </c>
      <c r="AN715" s="905">
        <f>INDEX(G715:R715,1,MATCH(Parametres!$B$3,G$1:R$1,0))*IF(OR(F715="L",F715="S",F715="I"),-1,1)</f>
        <v>0</v>
      </c>
      <c r="AO715" s="487" t="e">
        <f>+VLOOKUP($AJ715,Data_Validation!$A:$D,1,0)</f>
        <v>#N/A</v>
      </c>
      <c r="AP715" s="487" t="e">
        <f>+VLOOKUP($AJ715,Data_Validation!$A:$D,3,0)</f>
        <v>#N/A</v>
      </c>
      <c r="AQ715" s="487" t="e">
        <f>+VLOOKUP($AJ715,Data_Validation!$A:$D,4,0)</f>
        <v>#N/A</v>
      </c>
      <c r="AR715" s="487" t="s">
        <v>299</v>
      </c>
      <c r="AS715" s="487" t="e">
        <f>+VLOOKUP($AJ715,Data_Validation!$A:$E,5,0)</f>
        <v>#N/A</v>
      </c>
      <c r="AT715" s="904">
        <f t="shared" si="46"/>
        <v>0</v>
      </c>
      <c r="AU715" s="488">
        <f t="shared" si="46"/>
        <v>0</v>
      </c>
      <c r="AV715" s="899">
        <f>IFERROR(INDEX(V715:AG715,1,MATCH(Parametres!$B$3,V$1:AG$1,0)-1)*IF(OR(C715="L",C715="S",C715="I"),-1,1),"")</f>
        <v>0</v>
      </c>
      <c r="AW715" s="899">
        <f t="shared" si="47"/>
        <v>0</v>
      </c>
      <c r="AX715" s="899">
        <f>INDEX(V715:AG715,1,MATCH(Parametres!$B$3,V$1:AG$1,0))*IF(OR(C715="L",C715="S",C715="I"),-1,1)</f>
        <v>0</v>
      </c>
      <c r="AY715" s="487" t="s">
        <v>337</v>
      </c>
      <c r="AZ715" s="487" t="e">
        <f>+VLOOKUP($AJ715,Data_Validation!$A:$E,5,0)</f>
        <v>#N/A</v>
      </c>
    </row>
    <row r="716" spans="36:52" ht="15" customHeight="1">
      <c r="AJ716" s="899">
        <f t="shared" si="44"/>
        <v>0</v>
      </c>
      <c r="AK716" s="899">
        <f t="shared" si="44"/>
        <v>0</v>
      </c>
      <c r="AL716" s="905">
        <f>IFERROR(INDEX(G716:R716,1,MATCH(Parametres!$B$3,G$1:R$1,0)-1)*IF(OR(F716="L",F716="S",F716="I"),-1,1),"")</f>
        <v>0</v>
      </c>
      <c r="AM716" s="905">
        <f t="shared" si="45"/>
        <v>0</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f t="shared" si="46"/>
        <v>0</v>
      </c>
      <c r="AU716" s="488">
        <f t="shared" si="46"/>
        <v>0</v>
      </c>
      <c r="AV716" s="899">
        <f>IFERROR(INDEX(V716:AG716,1,MATCH(Parametres!$B$3,V$1:AG$1,0)-1)*IF(OR(C716="L",C716="S",C716="I"),-1,1),"")</f>
        <v>0</v>
      </c>
      <c r="AW716" s="899">
        <f t="shared" si="47"/>
        <v>0</v>
      </c>
      <c r="AX716" s="899">
        <f>INDEX(V716:AG716,1,MATCH(Parametres!$B$3,V$1:AG$1,0))*IF(OR(C716="L",C716="S",C716="I"),-1,1)</f>
        <v>0</v>
      </c>
      <c r="AY716" s="487" t="s">
        <v>337</v>
      </c>
      <c r="AZ716" s="487" t="e">
        <f>+VLOOKUP($AJ716,Data_Validation!$A:$E,5,0)</f>
        <v>#N/A</v>
      </c>
    </row>
    <row r="717" spans="36:52" ht="15" customHeight="1">
      <c r="AJ717" s="899">
        <f t="shared" si="44"/>
        <v>0</v>
      </c>
      <c r="AK717" s="899">
        <f t="shared" si="44"/>
        <v>0</v>
      </c>
      <c r="AL717" s="905">
        <f>IFERROR(INDEX(G717:R717,1,MATCH(Parametres!$B$3,G$1:R$1,0)-1)*IF(OR(F717="L",F717="S",F717="I"),-1,1),"")</f>
        <v>0</v>
      </c>
      <c r="AM717" s="905">
        <f t="shared" si="45"/>
        <v>0</v>
      </c>
      <c r="AN717" s="905">
        <f>INDEX(G717:R717,1,MATCH(Parametres!$B$3,G$1:R$1,0))*IF(OR(F717="L",F717="S",F717="I"),-1,1)</f>
        <v>0</v>
      </c>
      <c r="AO717" s="487" t="e">
        <f>+VLOOKUP($AJ717,Data_Validation!$A:$D,1,0)</f>
        <v>#N/A</v>
      </c>
      <c r="AP717" s="487" t="e">
        <f>+VLOOKUP($AJ717,Data_Validation!$A:$D,3,0)</f>
        <v>#N/A</v>
      </c>
      <c r="AQ717" s="487" t="e">
        <f>+VLOOKUP($AJ717,Data_Validation!$A:$D,4,0)</f>
        <v>#N/A</v>
      </c>
      <c r="AR717" s="487" t="s">
        <v>299</v>
      </c>
      <c r="AS717" s="487" t="e">
        <f>+VLOOKUP($AJ717,Data_Validation!$A:$E,5,0)</f>
        <v>#N/A</v>
      </c>
      <c r="AT717" s="904">
        <f t="shared" si="46"/>
        <v>0</v>
      </c>
      <c r="AU717" s="488">
        <f t="shared" si="46"/>
        <v>0</v>
      </c>
      <c r="AV717" s="899">
        <f>IFERROR(INDEX(V717:AG717,1,MATCH(Parametres!$B$3,V$1:AG$1,0)-1)*IF(OR(C717="L",C717="S",C717="I"),-1,1),"")</f>
        <v>0</v>
      </c>
      <c r="AW717" s="899">
        <f t="shared" si="47"/>
        <v>0</v>
      </c>
      <c r="AX717" s="899">
        <f>INDEX(V717:AG717,1,MATCH(Parametres!$B$3,V$1:AG$1,0))*IF(OR(C717="L",C717="S",C717="I"),-1,1)</f>
        <v>0</v>
      </c>
      <c r="AY717" s="487" t="s">
        <v>337</v>
      </c>
      <c r="AZ717" s="487" t="e">
        <f>+VLOOKUP($AJ717,Data_Validation!$A:$E,5,0)</f>
        <v>#N/A</v>
      </c>
    </row>
    <row r="718" spans="36:52" ht="15" customHeight="1">
      <c r="AJ718" s="899">
        <f t="shared" si="44"/>
        <v>0</v>
      </c>
      <c r="AK718" s="899">
        <f t="shared" si="44"/>
        <v>0</v>
      </c>
      <c r="AL718" s="905">
        <f>IFERROR(INDEX(G718:R718,1,MATCH(Parametres!$B$3,G$1:R$1,0)-1)*IF(OR(F718="L",F718="S",F718="I"),-1,1),"")</f>
        <v>0</v>
      </c>
      <c r="AM718" s="905">
        <f t="shared" si="45"/>
        <v>0</v>
      </c>
      <c r="AN718" s="905">
        <f>INDEX(G718:R718,1,MATCH(Parametres!$B$3,G$1:R$1,0))*IF(OR(F718="L",F718="S",F718="I"),-1,1)</f>
        <v>0</v>
      </c>
      <c r="AO718" s="487" t="e">
        <f>+VLOOKUP($AJ718,Data_Validation!$A:$D,1,0)</f>
        <v>#N/A</v>
      </c>
      <c r="AP718" s="487" t="e">
        <f>+VLOOKUP($AJ718,Data_Validation!$A:$D,3,0)</f>
        <v>#N/A</v>
      </c>
      <c r="AQ718" s="487" t="e">
        <f>+VLOOKUP($AJ718,Data_Validation!$A:$D,4,0)</f>
        <v>#N/A</v>
      </c>
      <c r="AR718" s="487" t="s">
        <v>299</v>
      </c>
      <c r="AS718" s="487" t="e">
        <f>+VLOOKUP($AJ718,Data_Validation!$A:$E,5,0)</f>
        <v>#N/A</v>
      </c>
      <c r="AT718" s="904">
        <f t="shared" si="46"/>
        <v>0</v>
      </c>
      <c r="AU718" s="488">
        <f t="shared" si="46"/>
        <v>0</v>
      </c>
      <c r="AV718" s="899">
        <f>IFERROR(INDEX(V718:AG718,1,MATCH(Parametres!$B$3,V$1:AG$1,0)-1)*IF(OR(C718="L",C718="S",C718="I"),-1,1),"")</f>
        <v>0</v>
      </c>
      <c r="AW718" s="899">
        <f t="shared" si="47"/>
        <v>0</v>
      </c>
      <c r="AX718" s="899">
        <f>INDEX(V718:AG718,1,MATCH(Parametres!$B$3,V$1:AG$1,0))*IF(OR(C718="L",C718="S",C718="I"),-1,1)</f>
        <v>0</v>
      </c>
      <c r="AY718" s="487" t="s">
        <v>337</v>
      </c>
      <c r="AZ718" s="487" t="e">
        <f>+VLOOKUP($AJ718,Data_Validation!$A:$E,5,0)</f>
        <v>#N/A</v>
      </c>
    </row>
    <row r="719" spans="36:52" ht="15" customHeight="1">
      <c r="AJ719" s="899">
        <f t="shared" si="44"/>
        <v>0</v>
      </c>
      <c r="AK719" s="899">
        <f t="shared" si="44"/>
        <v>0</v>
      </c>
      <c r="AL719" s="905">
        <f>IFERROR(INDEX(G719:R719,1,MATCH(Parametres!$B$3,G$1:R$1,0)-1)*IF(OR(F719="L",F719="S",F719="I"),-1,1),"")</f>
        <v>0</v>
      </c>
      <c r="AM719" s="905">
        <f t="shared" si="45"/>
        <v>0</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f t="shared" si="46"/>
        <v>0</v>
      </c>
      <c r="AU719" s="488">
        <f t="shared" si="46"/>
        <v>0</v>
      </c>
      <c r="AV719" s="899">
        <f>IFERROR(INDEX(V719:AG719,1,MATCH(Parametres!$B$3,V$1:AG$1,0)-1)*IF(OR(C719="L",C719="S",C719="I"),-1,1),"")</f>
        <v>0</v>
      </c>
      <c r="AW719" s="899">
        <f t="shared" si="47"/>
        <v>0</v>
      </c>
      <c r="AX719" s="899">
        <f>INDEX(V719:AG719,1,MATCH(Parametres!$B$3,V$1:AG$1,0))*IF(OR(C719="L",C719="S",C719="I"),-1,1)</f>
        <v>0</v>
      </c>
      <c r="AY719" s="487" t="s">
        <v>337</v>
      </c>
      <c r="AZ719" s="487" t="e">
        <f>+VLOOKUP($AJ719,Data_Validation!$A:$E,5,0)</f>
        <v>#N/A</v>
      </c>
    </row>
    <row r="720" spans="36:52" ht="15" customHeight="1">
      <c r="AJ720" s="899">
        <f t="shared" si="44"/>
        <v>0</v>
      </c>
      <c r="AK720" s="899">
        <f t="shared" si="44"/>
        <v>0</v>
      </c>
      <c r="AL720" s="905">
        <f>IFERROR(INDEX(G720:R720,1,MATCH(Parametres!$B$3,G$1:R$1,0)-1)*IF(OR(F720="L",F720="S",F720="I"),-1,1),"")</f>
        <v>0</v>
      </c>
      <c r="AM720" s="905">
        <f t="shared" si="45"/>
        <v>0</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f t="shared" si="46"/>
        <v>0</v>
      </c>
      <c r="AU720" s="488">
        <f t="shared" si="46"/>
        <v>0</v>
      </c>
      <c r="AV720" s="899">
        <f>IFERROR(INDEX(V720:AG720,1,MATCH(Parametres!$B$3,V$1:AG$1,0)-1)*IF(OR(C720="L",C720="S",C720="I"),-1,1),"")</f>
        <v>0</v>
      </c>
      <c r="AW720" s="899">
        <f t="shared" si="47"/>
        <v>0</v>
      </c>
      <c r="AX720" s="899">
        <f>INDEX(V720:AG720,1,MATCH(Parametres!$B$3,V$1:AG$1,0))*IF(OR(C720="L",C720="S",C720="I"),-1,1)</f>
        <v>0</v>
      </c>
      <c r="AY720" s="487" t="s">
        <v>337</v>
      </c>
      <c r="AZ720" s="487" t="e">
        <f>+VLOOKUP($AJ720,Data_Validation!$A:$E,5,0)</f>
        <v>#N/A</v>
      </c>
    </row>
    <row r="721" spans="36:52" ht="15" customHeight="1">
      <c r="AJ721" s="899">
        <f t="shared" si="44"/>
        <v>0</v>
      </c>
      <c r="AK721" s="899">
        <f t="shared" si="44"/>
        <v>0</v>
      </c>
      <c r="AL721" s="905">
        <f>IFERROR(INDEX(G721:R721,1,MATCH(Parametres!$B$3,G$1:R$1,0)-1)*IF(OR(F721="L",F721="S",F721="I"),-1,1),"")</f>
        <v>0</v>
      </c>
      <c r="AM721" s="905">
        <f t="shared" si="45"/>
        <v>0</v>
      </c>
      <c r="AN721" s="905">
        <f>INDEX(G721:R721,1,MATCH(Parametres!$B$3,G$1:R$1,0))*IF(OR(F721="L",F721="S",F721="I"),-1,1)</f>
        <v>0</v>
      </c>
      <c r="AO721" s="487" t="e">
        <f>+VLOOKUP($AJ721,Data_Validation!$A:$D,1,0)</f>
        <v>#N/A</v>
      </c>
      <c r="AP721" s="487" t="e">
        <f>+VLOOKUP($AJ721,Data_Validation!$A:$D,3,0)</f>
        <v>#N/A</v>
      </c>
      <c r="AQ721" s="487" t="e">
        <f>+VLOOKUP($AJ721,Data_Validation!$A:$D,4,0)</f>
        <v>#N/A</v>
      </c>
      <c r="AR721" s="487" t="s">
        <v>299</v>
      </c>
      <c r="AS721" s="487" t="e">
        <f>+VLOOKUP($AJ721,Data_Validation!$A:$E,5,0)</f>
        <v>#N/A</v>
      </c>
      <c r="AT721" s="904">
        <f t="shared" si="46"/>
        <v>0</v>
      </c>
      <c r="AU721" s="488">
        <f t="shared" si="46"/>
        <v>0</v>
      </c>
      <c r="AV721" s="899">
        <f>IFERROR(INDEX(V721:AG721,1,MATCH(Parametres!$B$3,V$1:AG$1,0)-1)*IF(OR(C721="L",C721="S",C721="I"),-1,1),"")</f>
        <v>0</v>
      </c>
      <c r="AW721" s="899">
        <f t="shared" si="47"/>
        <v>0</v>
      </c>
      <c r="AX721" s="899">
        <f>INDEX(V721:AG721,1,MATCH(Parametres!$B$3,V$1:AG$1,0))*IF(OR(C721="L",C721="S",C721="I"),-1,1)</f>
        <v>0</v>
      </c>
      <c r="AY721" s="487" t="s">
        <v>337</v>
      </c>
      <c r="AZ721" s="487" t="e">
        <f>+VLOOKUP($AJ721,Data_Validation!$A:$E,5,0)</f>
        <v>#N/A</v>
      </c>
    </row>
    <row r="722" spans="36:52" ht="15" customHeight="1">
      <c r="AJ722" s="899">
        <f t="shared" si="44"/>
        <v>0</v>
      </c>
      <c r="AK722" s="899">
        <f t="shared" si="44"/>
        <v>0</v>
      </c>
      <c r="AL722" s="905">
        <f>IFERROR(INDEX(G722:R722,1,MATCH(Parametres!$B$3,G$1:R$1,0)-1)*IF(OR(F722="L",F722="S",F722="I"),-1,1),"")</f>
        <v>0</v>
      </c>
      <c r="AM722" s="905">
        <f t="shared" si="45"/>
        <v>0</v>
      </c>
      <c r="AN722" s="905">
        <f>INDEX(G722:R722,1,MATCH(Parametres!$B$3,G$1:R$1,0))*IF(OR(F722="L",F722="S",F722="I"),-1,1)</f>
        <v>0</v>
      </c>
      <c r="AO722" s="487" t="e">
        <f>+VLOOKUP($AJ722,Data_Validation!$A:$D,1,0)</f>
        <v>#N/A</v>
      </c>
      <c r="AP722" s="487" t="e">
        <f>+VLOOKUP($AJ722,Data_Validation!$A:$D,3,0)</f>
        <v>#N/A</v>
      </c>
      <c r="AQ722" s="487" t="e">
        <f>+VLOOKUP($AJ722,Data_Validation!$A:$D,4,0)</f>
        <v>#N/A</v>
      </c>
      <c r="AR722" s="487" t="s">
        <v>299</v>
      </c>
      <c r="AS722" s="487" t="e">
        <f>+VLOOKUP($AJ722,Data_Validation!$A:$E,5,0)</f>
        <v>#N/A</v>
      </c>
      <c r="AT722" s="904">
        <f t="shared" si="46"/>
        <v>0</v>
      </c>
      <c r="AU722" s="488">
        <f t="shared" si="46"/>
        <v>0</v>
      </c>
      <c r="AV722" s="899">
        <f>IFERROR(INDEX(V722:AG722,1,MATCH(Parametres!$B$3,V$1:AG$1,0)-1)*IF(OR(C722="L",C722="S",C722="I"),-1,1),"")</f>
        <v>0</v>
      </c>
      <c r="AW722" s="899">
        <f t="shared" si="47"/>
        <v>0</v>
      </c>
      <c r="AX722" s="899">
        <f>INDEX(V722:AG722,1,MATCH(Parametres!$B$3,V$1:AG$1,0))*IF(OR(C722="L",C722="S",C722="I"),-1,1)</f>
        <v>0</v>
      </c>
      <c r="AY722" s="487" t="s">
        <v>337</v>
      </c>
      <c r="AZ722" s="487" t="e">
        <f>+VLOOKUP($AJ722,Data_Validation!$A:$E,5,0)</f>
        <v>#N/A</v>
      </c>
    </row>
    <row r="723" spans="36:52" ht="15" customHeight="1">
      <c r="AJ723" s="899">
        <f t="shared" si="44"/>
        <v>0</v>
      </c>
      <c r="AK723" s="899">
        <f t="shared" si="44"/>
        <v>0</v>
      </c>
      <c r="AL723" s="905">
        <f>IFERROR(INDEX(G723:R723,1,MATCH(Parametres!$B$3,G$1:R$1,0)-1)*IF(OR(F723="L",F723="S",F723="I"),-1,1),"")</f>
        <v>0</v>
      </c>
      <c r="AM723" s="905">
        <f t="shared" si="45"/>
        <v>0</v>
      </c>
      <c r="AN723" s="905">
        <f>INDEX(G723:R723,1,MATCH(Parametres!$B$3,G$1:R$1,0))*IF(OR(F723="L",F723="S",F723="I"),-1,1)</f>
        <v>0</v>
      </c>
      <c r="AO723" s="487" t="e">
        <f>+VLOOKUP($AJ723,Data_Validation!$A:$D,1,0)</f>
        <v>#N/A</v>
      </c>
      <c r="AP723" s="487" t="e">
        <f>+VLOOKUP($AJ723,Data_Validation!$A:$D,3,0)</f>
        <v>#N/A</v>
      </c>
      <c r="AQ723" s="487" t="e">
        <f>+VLOOKUP($AJ723,Data_Validation!$A:$D,4,0)</f>
        <v>#N/A</v>
      </c>
      <c r="AR723" s="487" t="s">
        <v>299</v>
      </c>
      <c r="AS723" s="487" t="e">
        <f>+VLOOKUP($AJ723,Data_Validation!$A:$E,5,0)</f>
        <v>#N/A</v>
      </c>
      <c r="AT723" s="904">
        <f t="shared" si="46"/>
        <v>0</v>
      </c>
      <c r="AU723" s="488">
        <f t="shared" si="46"/>
        <v>0</v>
      </c>
      <c r="AV723" s="899">
        <f>IFERROR(INDEX(V723:AG723,1,MATCH(Parametres!$B$3,V$1:AG$1,0)-1)*IF(OR(C723="L",C723="S",C723="I"),-1,1),"")</f>
        <v>0</v>
      </c>
      <c r="AW723" s="899">
        <f t="shared" si="47"/>
        <v>0</v>
      </c>
      <c r="AX723" s="899">
        <f>INDEX(V723:AG723,1,MATCH(Parametres!$B$3,V$1:AG$1,0))*IF(OR(C723="L",C723="S",C723="I"),-1,1)</f>
        <v>0</v>
      </c>
      <c r="AY723" s="487" t="s">
        <v>337</v>
      </c>
      <c r="AZ723" s="487" t="e">
        <f>+VLOOKUP($AJ723,Data_Validation!$A:$E,5,0)</f>
        <v>#N/A</v>
      </c>
    </row>
    <row r="724" spans="36:52" ht="15" customHeight="1">
      <c r="AJ724" s="899">
        <f t="shared" ref="AJ724:AK787" si="48">C724</f>
        <v>0</v>
      </c>
      <c r="AK724" s="899">
        <f t="shared" si="48"/>
        <v>0</v>
      </c>
      <c r="AL724" s="905">
        <f>IFERROR(INDEX(G724:R724,1,MATCH(Parametres!$B$3,G$1:R$1,0)-1)*IF(OR(F724="L",F724="S",F724="I"),-1,1),"")</f>
        <v>0</v>
      </c>
      <c r="AM724" s="905">
        <f t="shared" si="45"/>
        <v>0</v>
      </c>
      <c r="AN724" s="905">
        <f>INDEX(G724:R724,1,MATCH(Parametres!$B$3,G$1:R$1,0))*IF(OR(F724="L",F724="S",F724="I"),-1,1)</f>
        <v>0</v>
      </c>
      <c r="AO724" s="487" t="e">
        <f>+VLOOKUP($AJ724,Data_Validation!$A:$D,1,0)</f>
        <v>#N/A</v>
      </c>
      <c r="AP724" s="487" t="e">
        <f>+VLOOKUP($AJ724,Data_Validation!$A:$D,3,0)</f>
        <v>#N/A</v>
      </c>
      <c r="AQ724" s="487" t="e">
        <f>+VLOOKUP($AJ724,Data_Validation!$A:$D,4,0)</f>
        <v>#N/A</v>
      </c>
      <c r="AR724" s="487" t="s">
        <v>299</v>
      </c>
      <c r="AS724" s="487" t="e">
        <f>+VLOOKUP($AJ724,Data_Validation!$A:$E,5,0)</f>
        <v>#N/A</v>
      </c>
      <c r="AT724" s="904">
        <f t="shared" si="46"/>
        <v>0</v>
      </c>
      <c r="AU724" s="488">
        <f t="shared" si="46"/>
        <v>0</v>
      </c>
      <c r="AV724" s="899">
        <f>IFERROR(INDEX(V724:AG724,1,MATCH(Parametres!$B$3,V$1:AG$1,0)-1)*IF(OR(C724="L",C724="S",C724="I"),-1,1),"")</f>
        <v>0</v>
      </c>
      <c r="AW724" s="899">
        <f t="shared" si="47"/>
        <v>0</v>
      </c>
      <c r="AX724" s="899">
        <f>INDEX(V724:AG724,1,MATCH(Parametres!$B$3,V$1:AG$1,0))*IF(OR(C724="L",C724="S",C724="I"),-1,1)</f>
        <v>0</v>
      </c>
      <c r="AY724" s="487" t="s">
        <v>337</v>
      </c>
      <c r="AZ724" s="487" t="e">
        <f>+VLOOKUP($AJ724,Data_Validation!$A:$E,5,0)</f>
        <v>#N/A</v>
      </c>
    </row>
    <row r="725" spans="36:52" ht="15" customHeight="1">
      <c r="AJ725" s="899">
        <f t="shared" si="48"/>
        <v>0</v>
      </c>
      <c r="AK725" s="899">
        <f t="shared" si="48"/>
        <v>0</v>
      </c>
      <c r="AL725" s="905">
        <f>IFERROR(INDEX(G725:R725,1,MATCH(Parametres!$B$3,G$1:R$1,0)-1)*IF(OR(F725="L",F725="S",F725="I"),-1,1),"")</f>
        <v>0</v>
      </c>
      <c r="AM725" s="905">
        <f t="shared" si="45"/>
        <v>0</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f t="shared" si="46"/>
        <v>0</v>
      </c>
      <c r="AU725" s="488">
        <f t="shared" si="46"/>
        <v>0</v>
      </c>
      <c r="AV725" s="899">
        <f>IFERROR(INDEX(V725:AG725,1,MATCH(Parametres!$B$3,V$1:AG$1,0)-1)*IF(OR(C725="L",C725="S",C725="I"),-1,1),"")</f>
        <v>0</v>
      </c>
      <c r="AW725" s="899">
        <f t="shared" si="47"/>
        <v>0</v>
      </c>
      <c r="AX725" s="899">
        <f>INDEX(V725:AG725,1,MATCH(Parametres!$B$3,V$1:AG$1,0))*IF(OR(C725="L",C725="S",C725="I"),-1,1)</f>
        <v>0</v>
      </c>
      <c r="AY725" s="487" t="s">
        <v>337</v>
      </c>
      <c r="AZ725" s="487" t="e">
        <f>+VLOOKUP($AJ725,Data_Validation!$A:$E,5,0)</f>
        <v>#N/A</v>
      </c>
    </row>
    <row r="726" spans="36:52" ht="15" customHeight="1">
      <c r="AJ726" s="899">
        <f t="shared" si="48"/>
        <v>0</v>
      </c>
      <c r="AK726" s="899">
        <f t="shared" si="48"/>
        <v>0</v>
      </c>
      <c r="AL726" s="905">
        <f>IFERROR(INDEX(G726:R726,1,MATCH(Parametres!$B$3,G$1:R$1,0)-1)*IF(OR(F726="L",F726="S",F726="I"),-1,1),"")</f>
        <v>0</v>
      </c>
      <c r="AM726" s="905">
        <f t="shared" si="45"/>
        <v>0</v>
      </c>
      <c r="AN726" s="905">
        <f>INDEX(G726:R726,1,MATCH(Parametres!$B$3,G$1:R$1,0))*IF(OR(F726="L",F726="S",F726="I"),-1,1)</f>
        <v>0</v>
      </c>
      <c r="AO726" s="487" t="e">
        <f>+VLOOKUP($AJ726,Data_Validation!$A:$D,1,0)</f>
        <v>#N/A</v>
      </c>
      <c r="AP726" s="487" t="e">
        <f>+VLOOKUP($AJ726,Data_Validation!$A:$D,3,0)</f>
        <v>#N/A</v>
      </c>
      <c r="AQ726" s="487" t="e">
        <f>+VLOOKUP($AJ726,Data_Validation!$A:$D,4,0)</f>
        <v>#N/A</v>
      </c>
      <c r="AR726" s="487" t="s">
        <v>299</v>
      </c>
      <c r="AS726" s="487" t="e">
        <f>+VLOOKUP($AJ726,Data_Validation!$A:$E,5,0)</f>
        <v>#N/A</v>
      </c>
      <c r="AT726" s="904">
        <f t="shared" si="46"/>
        <v>0</v>
      </c>
      <c r="AU726" s="488">
        <f t="shared" si="46"/>
        <v>0</v>
      </c>
      <c r="AV726" s="899">
        <f>IFERROR(INDEX(V726:AG726,1,MATCH(Parametres!$B$3,V$1:AG$1,0)-1)*IF(OR(C726="L",C726="S",C726="I"),-1,1),"")</f>
        <v>0</v>
      </c>
      <c r="AW726" s="899">
        <f t="shared" si="47"/>
        <v>0</v>
      </c>
      <c r="AX726" s="899">
        <f>INDEX(V726:AG726,1,MATCH(Parametres!$B$3,V$1:AG$1,0))*IF(OR(C726="L",C726="S",C726="I"),-1,1)</f>
        <v>0</v>
      </c>
      <c r="AY726" s="487" t="s">
        <v>337</v>
      </c>
      <c r="AZ726" s="487" t="e">
        <f>+VLOOKUP($AJ726,Data_Validation!$A:$E,5,0)</f>
        <v>#N/A</v>
      </c>
    </row>
    <row r="727" spans="36:52" ht="15" customHeight="1">
      <c r="AJ727" s="899">
        <f t="shared" si="48"/>
        <v>0</v>
      </c>
      <c r="AK727" s="899">
        <f t="shared" si="48"/>
        <v>0</v>
      </c>
      <c r="AL727" s="905">
        <f>IFERROR(INDEX(G727:R727,1,MATCH(Parametres!$B$3,G$1:R$1,0)-1)*IF(OR(F727="L",F727="S",F727="I"),-1,1),"")</f>
        <v>0</v>
      </c>
      <c r="AM727" s="905">
        <f t="shared" si="45"/>
        <v>0</v>
      </c>
      <c r="AN727" s="905">
        <f>INDEX(G727:R727,1,MATCH(Parametres!$B$3,G$1:R$1,0))*IF(OR(F727="L",F727="S",F727="I"),-1,1)</f>
        <v>0</v>
      </c>
      <c r="AO727" s="487" t="e">
        <f>+VLOOKUP($AJ727,Data_Validation!$A:$D,1,0)</f>
        <v>#N/A</v>
      </c>
      <c r="AP727" s="487" t="e">
        <f>+VLOOKUP($AJ727,Data_Validation!$A:$D,3,0)</f>
        <v>#N/A</v>
      </c>
      <c r="AQ727" s="487" t="e">
        <f>+VLOOKUP($AJ727,Data_Validation!$A:$D,4,0)</f>
        <v>#N/A</v>
      </c>
      <c r="AR727" s="487" t="s">
        <v>299</v>
      </c>
      <c r="AS727" s="487" t="e">
        <f>+VLOOKUP($AJ727,Data_Validation!$A:$E,5,0)</f>
        <v>#N/A</v>
      </c>
      <c r="AT727" s="904">
        <f t="shared" si="46"/>
        <v>0</v>
      </c>
      <c r="AU727" s="488">
        <f t="shared" si="46"/>
        <v>0</v>
      </c>
      <c r="AV727" s="899">
        <f>IFERROR(INDEX(V727:AG727,1,MATCH(Parametres!$B$3,V$1:AG$1,0)-1)*IF(OR(C727="L",C727="S",C727="I"),-1,1),"")</f>
        <v>0</v>
      </c>
      <c r="AW727" s="899">
        <f t="shared" si="47"/>
        <v>0</v>
      </c>
      <c r="AX727" s="899">
        <f>INDEX(V727:AG727,1,MATCH(Parametres!$B$3,V$1:AG$1,0))*IF(OR(C727="L",C727="S",C727="I"),-1,1)</f>
        <v>0</v>
      </c>
      <c r="AY727" s="487" t="s">
        <v>337</v>
      </c>
      <c r="AZ727" s="487" t="e">
        <f>+VLOOKUP($AJ727,Data_Validation!$A:$E,5,0)</f>
        <v>#N/A</v>
      </c>
    </row>
    <row r="728" spans="36:52" ht="15" customHeight="1">
      <c r="AJ728" s="899">
        <f t="shared" si="48"/>
        <v>0</v>
      </c>
      <c r="AK728" s="899">
        <f t="shared" si="48"/>
        <v>0</v>
      </c>
      <c r="AL728" s="905">
        <f>IFERROR(INDEX(G728:R728,1,MATCH(Parametres!$B$3,G$1:R$1,0)-1)*IF(OR(F728="L",F728="S",F728="I"),-1,1),"")</f>
        <v>0</v>
      </c>
      <c r="AM728" s="905">
        <f t="shared" si="45"/>
        <v>0</v>
      </c>
      <c r="AN728" s="905">
        <f>INDEX(G728:R728,1,MATCH(Parametres!$B$3,G$1:R$1,0))*IF(OR(F728="L",F728="S",F728="I"),-1,1)</f>
        <v>0</v>
      </c>
      <c r="AO728" s="487" t="e">
        <f>+VLOOKUP($AJ728,Data_Validation!$A:$D,1,0)</f>
        <v>#N/A</v>
      </c>
      <c r="AP728" s="487" t="e">
        <f>+VLOOKUP($AJ728,Data_Validation!$A:$D,3,0)</f>
        <v>#N/A</v>
      </c>
      <c r="AQ728" s="487" t="e">
        <f>+VLOOKUP($AJ728,Data_Validation!$A:$D,4,0)</f>
        <v>#N/A</v>
      </c>
      <c r="AR728" s="487" t="s">
        <v>299</v>
      </c>
      <c r="AS728" s="487" t="e">
        <f>+VLOOKUP($AJ728,Data_Validation!$A:$E,5,0)</f>
        <v>#N/A</v>
      </c>
      <c r="AT728" s="904">
        <f t="shared" si="46"/>
        <v>0</v>
      </c>
      <c r="AU728" s="488">
        <f t="shared" si="46"/>
        <v>0</v>
      </c>
      <c r="AV728" s="899">
        <f>IFERROR(INDEX(V728:AG728,1,MATCH(Parametres!$B$3,V$1:AG$1,0)-1)*IF(OR(C728="L",C728="S",C728="I"),-1,1),"")</f>
        <v>0</v>
      </c>
      <c r="AW728" s="899">
        <f t="shared" si="47"/>
        <v>0</v>
      </c>
      <c r="AX728" s="899">
        <f>INDEX(V728:AG728,1,MATCH(Parametres!$B$3,V$1:AG$1,0))*IF(OR(C728="L",C728="S",C728="I"),-1,1)</f>
        <v>0</v>
      </c>
      <c r="AY728" s="487" t="s">
        <v>337</v>
      </c>
      <c r="AZ728" s="487" t="e">
        <f>+VLOOKUP($AJ728,Data_Validation!$A:$E,5,0)</f>
        <v>#N/A</v>
      </c>
    </row>
    <row r="729" spans="36:52" ht="15" customHeight="1">
      <c r="AJ729" s="899">
        <f t="shared" si="48"/>
        <v>0</v>
      </c>
      <c r="AK729" s="899">
        <f t="shared" si="48"/>
        <v>0</v>
      </c>
      <c r="AL729" s="905">
        <f>IFERROR(INDEX(G729:R729,1,MATCH(Parametres!$B$3,G$1:R$1,0)-1)*IF(OR(F729="L",F729="S",F729="I"),-1,1),"")</f>
        <v>0</v>
      </c>
      <c r="AM729" s="905">
        <f t="shared" si="45"/>
        <v>0</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f t="shared" si="46"/>
        <v>0</v>
      </c>
      <c r="AU729" s="488">
        <f t="shared" si="46"/>
        <v>0</v>
      </c>
      <c r="AV729" s="899">
        <f>IFERROR(INDEX(V729:AG729,1,MATCH(Parametres!$B$3,V$1:AG$1,0)-1)*IF(OR(C729="L",C729="S",C729="I"),-1,1),"")</f>
        <v>0</v>
      </c>
      <c r="AW729" s="899">
        <f t="shared" si="47"/>
        <v>0</v>
      </c>
      <c r="AX729" s="899">
        <f>INDEX(V729:AG729,1,MATCH(Parametres!$B$3,V$1:AG$1,0))*IF(OR(C729="L",C729="S",C729="I"),-1,1)</f>
        <v>0</v>
      </c>
      <c r="AY729" s="487" t="s">
        <v>337</v>
      </c>
      <c r="AZ729" s="487" t="e">
        <f>+VLOOKUP($AJ729,Data_Validation!$A:$E,5,0)</f>
        <v>#N/A</v>
      </c>
    </row>
    <row r="730" spans="36:52" ht="15" customHeight="1">
      <c r="AJ730" s="899">
        <f t="shared" si="48"/>
        <v>0</v>
      </c>
      <c r="AK730" s="899">
        <f t="shared" si="48"/>
        <v>0</v>
      </c>
      <c r="AL730" s="905">
        <f>IFERROR(INDEX(G730:R730,1,MATCH(Parametres!$B$3,G$1:R$1,0)-1)*IF(OR(F730="L",F730="S",F730="I"),-1,1),"")</f>
        <v>0</v>
      </c>
      <c r="AM730" s="905">
        <f t="shared" si="45"/>
        <v>0</v>
      </c>
      <c r="AN730" s="905">
        <f>INDEX(G730:R730,1,MATCH(Parametres!$B$3,G$1:R$1,0))*IF(OR(F730="L",F730="S",F730="I"),-1,1)</f>
        <v>0</v>
      </c>
      <c r="AO730" s="487" t="e">
        <f>+VLOOKUP($AJ730,Data_Validation!$A:$D,1,0)</f>
        <v>#N/A</v>
      </c>
      <c r="AP730" s="487" t="e">
        <f>+VLOOKUP($AJ730,Data_Validation!$A:$D,3,0)</f>
        <v>#N/A</v>
      </c>
      <c r="AQ730" s="487" t="e">
        <f>+VLOOKUP($AJ730,Data_Validation!$A:$D,4,0)</f>
        <v>#N/A</v>
      </c>
      <c r="AR730" s="487" t="s">
        <v>299</v>
      </c>
      <c r="AS730" s="487" t="e">
        <f>+VLOOKUP($AJ730,Data_Validation!$A:$E,5,0)</f>
        <v>#N/A</v>
      </c>
      <c r="AT730" s="904">
        <f t="shared" si="46"/>
        <v>0</v>
      </c>
      <c r="AU730" s="488">
        <f t="shared" si="46"/>
        <v>0</v>
      </c>
      <c r="AV730" s="899">
        <f>IFERROR(INDEX(V730:AG730,1,MATCH(Parametres!$B$3,V$1:AG$1,0)-1)*IF(OR(C730="L",C730="S",C730="I"),-1,1),"")</f>
        <v>0</v>
      </c>
      <c r="AW730" s="899">
        <f t="shared" si="47"/>
        <v>0</v>
      </c>
      <c r="AX730" s="899">
        <f>INDEX(V730:AG730,1,MATCH(Parametres!$B$3,V$1:AG$1,0))*IF(OR(C730="L",C730="S",C730="I"),-1,1)</f>
        <v>0</v>
      </c>
      <c r="AY730" s="487" t="s">
        <v>337</v>
      </c>
      <c r="AZ730" s="487" t="e">
        <f>+VLOOKUP($AJ730,Data_Validation!$A:$E,5,0)</f>
        <v>#N/A</v>
      </c>
    </row>
    <row r="731" spans="36:52" ht="15" customHeight="1">
      <c r="AJ731" s="899">
        <f t="shared" si="48"/>
        <v>0</v>
      </c>
      <c r="AK731" s="899">
        <f t="shared" si="48"/>
        <v>0</v>
      </c>
      <c r="AL731" s="905">
        <f>IFERROR(INDEX(G731:R731,1,MATCH(Parametres!$B$3,G$1:R$1,0)-1)*IF(OR(F731="L",F731="S",F731="I"),-1,1),"")</f>
        <v>0</v>
      </c>
      <c r="AM731" s="905">
        <f t="shared" si="45"/>
        <v>0</v>
      </c>
      <c r="AN731" s="905">
        <f>INDEX(G731:R731,1,MATCH(Parametres!$B$3,G$1:R$1,0))*IF(OR(F731="L",F731="S",F731="I"),-1,1)</f>
        <v>0</v>
      </c>
      <c r="AO731" s="487" t="e">
        <f>+VLOOKUP($AJ731,Data_Validation!$A:$D,1,0)</f>
        <v>#N/A</v>
      </c>
      <c r="AP731" s="487" t="e">
        <f>+VLOOKUP($AJ731,Data_Validation!$A:$D,3,0)</f>
        <v>#N/A</v>
      </c>
      <c r="AQ731" s="487" t="e">
        <f>+VLOOKUP($AJ731,Data_Validation!$A:$D,4,0)</f>
        <v>#N/A</v>
      </c>
      <c r="AR731" s="487" t="s">
        <v>299</v>
      </c>
      <c r="AS731" s="487" t="e">
        <f>+VLOOKUP($AJ731,Data_Validation!$A:$E,5,0)</f>
        <v>#N/A</v>
      </c>
      <c r="AT731" s="904">
        <f t="shared" si="46"/>
        <v>0</v>
      </c>
      <c r="AU731" s="488">
        <f t="shared" si="46"/>
        <v>0</v>
      </c>
      <c r="AV731" s="899">
        <f>IFERROR(INDEX(V731:AG731,1,MATCH(Parametres!$B$3,V$1:AG$1,0)-1)*IF(OR(C731="L",C731="S",C731="I"),-1,1),"")</f>
        <v>0</v>
      </c>
      <c r="AW731" s="899">
        <f t="shared" si="47"/>
        <v>0</v>
      </c>
      <c r="AX731" s="899">
        <f>INDEX(V731:AG731,1,MATCH(Parametres!$B$3,V$1:AG$1,0))*IF(OR(C731="L",C731="S",C731="I"),-1,1)</f>
        <v>0</v>
      </c>
      <c r="AY731" s="487" t="s">
        <v>337</v>
      </c>
      <c r="AZ731" s="487" t="e">
        <f>+VLOOKUP($AJ731,Data_Validation!$A:$E,5,0)</f>
        <v>#N/A</v>
      </c>
    </row>
    <row r="732" spans="36:52" ht="15" customHeight="1">
      <c r="AJ732" s="899">
        <f t="shared" si="48"/>
        <v>0</v>
      </c>
      <c r="AK732" s="899">
        <f t="shared" si="48"/>
        <v>0</v>
      </c>
      <c r="AL732" s="905">
        <f>IFERROR(INDEX(G732:R732,1,MATCH(Parametres!$B$3,G$1:R$1,0)-1)*IF(OR(F732="L",F732="S",F732="I"),-1,1),"")</f>
        <v>0</v>
      </c>
      <c r="AM732" s="905">
        <f t="shared" si="45"/>
        <v>0</v>
      </c>
      <c r="AN732" s="905">
        <f>INDEX(G732:R732,1,MATCH(Parametres!$B$3,G$1:R$1,0))*IF(OR(F732="L",F732="S",F732="I"),-1,1)</f>
        <v>0</v>
      </c>
      <c r="AO732" s="487" t="e">
        <f>+VLOOKUP($AJ732,Data_Validation!$A:$D,1,0)</f>
        <v>#N/A</v>
      </c>
      <c r="AP732" s="487" t="e">
        <f>+VLOOKUP($AJ732,Data_Validation!$A:$D,3,0)</f>
        <v>#N/A</v>
      </c>
      <c r="AQ732" s="487" t="e">
        <f>+VLOOKUP($AJ732,Data_Validation!$A:$D,4,0)</f>
        <v>#N/A</v>
      </c>
      <c r="AR732" s="487" t="s">
        <v>299</v>
      </c>
      <c r="AS732" s="487" t="e">
        <f>+VLOOKUP($AJ732,Data_Validation!$A:$E,5,0)</f>
        <v>#N/A</v>
      </c>
      <c r="AT732" s="904">
        <f t="shared" si="46"/>
        <v>0</v>
      </c>
      <c r="AU732" s="488">
        <f t="shared" si="46"/>
        <v>0</v>
      </c>
      <c r="AV732" s="899">
        <f>IFERROR(INDEX(V732:AG732,1,MATCH(Parametres!$B$3,V$1:AG$1,0)-1)*IF(OR(C732="L",C732="S",C732="I"),-1,1),"")</f>
        <v>0</v>
      </c>
      <c r="AW732" s="899">
        <f t="shared" si="47"/>
        <v>0</v>
      </c>
      <c r="AX732" s="899">
        <f>INDEX(V732:AG732,1,MATCH(Parametres!$B$3,V$1:AG$1,0))*IF(OR(C732="L",C732="S",C732="I"),-1,1)</f>
        <v>0</v>
      </c>
      <c r="AY732" s="487" t="s">
        <v>337</v>
      </c>
      <c r="AZ732" s="487" t="e">
        <f>+VLOOKUP($AJ732,Data_Validation!$A:$E,5,0)</f>
        <v>#N/A</v>
      </c>
    </row>
    <row r="733" spans="36:52" ht="15" customHeight="1">
      <c r="AJ733" s="899">
        <f t="shared" si="48"/>
        <v>0</v>
      </c>
      <c r="AK733" s="899">
        <f t="shared" si="48"/>
        <v>0</v>
      </c>
      <c r="AL733" s="905">
        <f>IFERROR(INDEX(G733:R733,1,MATCH(Parametres!$B$3,G$1:R$1,0)-1)*IF(OR(F733="L",F733="S",F733="I"),-1,1),"")</f>
        <v>0</v>
      </c>
      <c r="AM733" s="905">
        <f t="shared" si="45"/>
        <v>0</v>
      </c>
      <c r="AN733" s="905">
        <f>INDEX(G733:R733,1,MATCH(Parametres!$B$3,G$1:R$1,0))*IF(OR(F733="L",F733="S",F733="I"),-1,1)</f>
        <v>0</v>
      </c>
      <c r="AO733" s="487" t="e">
        <f>+VLOOKUP($AJ733,Data_Validation!$A:$D,1,0)</f>
        <v>#N/A</v>
      </c>
      <c r="AP733" s="487" t="e">
        <f>+VLOOKUP($AJ733,Data_Validation!$A:$D,3,0)</f>
        <v>#N/A</v>
      </c>
      <c r="AQ733" s="487" t="e">
        <f>+VLOOKUP($AJ733,Data_Validation!$A:$D,4,0)</f>
        <v>#N/A</v>
      </c>
      <c r="AR733" s="487" t="s">
        <v>299</v>
      </c>
      <c r="AS733" s="487" t="e">
        <f>+VLOOKUP($AJ733,Data_Validation!$A:$E,5,0)</f>
        <v>#N/A</v>
      </c>
      <c r="AT733" s="904">
        <f t="shared" si="46"/>
        <v>0</v>
      </c>
      <c r="AU733" s="488">
        <f t="shared" si="46"/>
        <v>0</v>
      </c>
      <c r="AV733" s="899">
        <f>IFERROR(INDEX(V733:AG733,1,MATCH(Parametres!$B$3,V$1:AG$1,0)-1)*IF(OR(C733="L",C733="S",C733="I"),-1,1),"")</f>
        <v>0</v>
      </c>
      <c r="AW733" s="899">
        <f t="shared" si="47"/>
        <v>0</v>
      </c>
      <c r="AX733" s="899">
        <f>INDEX(V733:AG733,1,MATCH(Parametres!$B$3,V$1:AG$1,0))*IF(OR(C733="L",C733="S",C733="I"),-1,1)</f>
        <v>0</v>
      </c>
      <c r="AY733" s="487" t="s">
        <v>337</v>
      </c>
      <c r="AZ733" s="487" t="e">
        <f>+VLOOKUP($AJ733,Data_Validation!$A:$E,5,0)</f>
        <v>#N/A</v>
      </c>
    </row>
    <row r="734" spans="36:52" ht="15" customHeight="1">
      <c r="AJ734" s="899">
        <f t="shared" si="48"/>
        <v>0</v>
      </c>
      <c r="AK734" s="899">
        <f t="shared" si="48"/>
        <v>0</v>
      </c>
      <c r="AL734" s="905">
        <f>IFERROR(INDEX(G734:R734,1,MATCH(Parametres!$B$3,G$1:R$1,0)-1)*IF(OR(F734="L",F734="S",F734="I"),-1,1),"")</f>
        <v>0</v>
      </c>
      <c r="AM734" s="905">
        <f t="shared" si="45"/>
        <v>0</v>
      </c>
      <c r="AN734" s="905">
        <f>INDEX(G734:R734,1,MATCH(Parametres!$B$3,G$1:R$1,0))*IF(OR(F734="L",F734="S",F734="I"),-1,1)</f>
        <v>0</v>
      </c>
      <c r="AO734" s="487" t="e">
        <f>+VLOOKUP($AJ734,Data_Validation!$A:$D,1,0)</f>
        <v>#N/A</v>
      </c>
      <c r="AP734" s="487" t="e">
        <f>+VLOOKUP($AJ734,Data_Validation!$A:$D,3,0)</f>
        <v>#N/A</v>
      </c>
      <c r="AQ734" s="487" t="e">
        <f>+VLOOKUP($AJ734,Data_Validation!$A:$D,4,0)</f>
        <v>#N/A</v>
      </c>
      <c r="AR734" s="487" t="s">
        <v>299</v>
      </c>
      <c r="AS734" s="487" t="e">
        <f>+VLOOKUP($AJ734,Data_Validation!$A:$E,5,0)</f>
        <v>#N/A</v>
      </c>
      <c r="AT734" s="904">
        <f t="shared" si="46"/>
        <v>0</v>
      </c>
      <c r="AU734" s="488">
        <f t="shared" si="46"/>
        <v>0</v>
      </c>
      <c r="AV734" s="899">
        <f>IFERROR(INDEX(V734:AG734,1,MATCH(Parametres!$B$3,V$1:AG$1,0)-1)*IF(OR(C734="L",C734="S",C734="I"),-1,1),"")</f>
        <v>0</v>
      </c>
      <c r="AW734" s="899">
        <f t="shared" si="47"/>
        <v>0</v>
      </c>
      <c r="AX734" s="899">
        <f>INDEX(V734:AG734,1,MATCH(Parametres!$B$3,V$1:AG$1,0))*IF(OR(C734="L",C734="S",C734="I"),-1,1)</f>
        <v>0</v>
      </c>
      <c r="AY734" s="487" t="s">
        <v>337</v>
      </c>
      <c r="AZ734" s="487" t="e">
        <f>+VLOOKUP($AJ734,Data_Validation!$A:$E,5,0)</f>
        <v>#N/A</v>
      </c>
    </row>
    <row r="735" spans="36:52" ht="15" customHeight="1">
      <c r="AJ735" s="899">
        <f t="shared" si="48"/>
        <v>0</v>
      </c>
      <c r="AK735" s="899">
        <f t="shared" si="48"/>
        <v>0</v>
      </c>
      <c r="AL735" s="905">
        <f>IFERROR(INDEX(G735:R735,1,MATCH(Parametres!$B$3,G$1:R$1,0)-1)*IF(OR(F735="L",F735="S",F735="I"),-1,1),"")</f>
        <v>0</v>
      </c>
      <c r="AM735" s="905">
        <f t="shared" si="45"/>
        <v>0</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f t="shared" si="46"/>
        <v>0</v>
      </c>
      <c r="AU735" s="488">
        <f t="shared" si="46"/>
        <v>0</v>
      </c>
      <c r="AV735" s="899">
        <f>IFERROR(INDEX(V735:AG735,1,MATCH(Parametres!$B$3,V$1:AG$1,0)-1)*IF(OR(C735="L",C735="S",C735="I"),-1,1),"")</f>
        <v>0</v>
      </c>
      <c r="AW735" s="899">
        <f t="shared" si="47"/>
        <v>0</v>
      </c>
      <c r="AX735" s="899">
        <f>INDEX(V735:AG735,1,MATCH(Parametres!$B$3,V$1:AG$1,0))*IF(OR(C735="L",C735="S",C735="I"),-1,1)</f>
        <v>0</v>
      </c>
      <c r="AY735" s="487" t="s">
        <v>337</v>
      </c>
      <c r="AZ735" s="487" t="e">
        <f>+VLOOKUP($AJ735,Data_Validation!$A:$E,5,0)</f>
        <v>#N/A</v>
      </c>
    </row>
    <row r="736" spans="36:52" ht="15" customHeight="1">
      <c r="AJ736" s="899">
        <f t="shared" si="48"/>
        <v>0</v>
      </c>
      <c r="AK736" s="899">
        <f t="shared" si="48"/>
        <v>0</v>
      </c>
      <c r="AL736" s="905">
        <f>IFERROR(INDEX(G736:R736,1,MATCH(Parametres!$B$3,G$1:R$1,0)-1)*IF(OR(F736="L",F736="S",F736="I"),-1,1),"")</f>
        <v>0</v>
      </c>
      <c r="AM736" s="905">
        <f t="shared" si="45"/>
        <v>0</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f t="shared" si="46"/>
        <v>0</v>
      </c>
      <c r="AU736" s="488">
        <f t="shared" si="46"/>
        <v>0</v>
      </c>
      <c r="AV736" s="899">
        <f>IFERROR(INDEX(V736:AG736,1,MATCH(Parametres!$B$3,V$1:AG$1,0)-1)*IF(OR(C736="L",C736="S",C736="I"),-1,1),"")</f>
        <v>0</v>
      </c>
      <c r="AW736" s="899">
        <f t="shared" si="47"/>
        <v>0</v>
      </c>
      <c r="AX736" s="899">
        <f>INDEX(V736:AG736,1,MATCH(Parametres!$B$3,V$1:AG$1,0))*IF(OR(C736="L",C736="S",C736="I"),-1,1)</f>
        <v>0</v>
      </c>
      <c r="AY736" s="487" t="s">
        <v>337</v>
      </c>
      <c r="AZ736" s="487" t="e">
        <f>+VLOOKUP($AJ736,Data_Validation!$A:$E,5,0)</f>
        <v>#N/A</v>
      </c>
    </row>
    <row r="737" spans="36:52" ht="15" customHeight="1">
      <c r="AJ737" s="899">
        <f t="shared" si="48"/>
        <v>0</v>
      </c>
      <c r="AK737" s="899">
        <f t="shared" si="48"/>
        <v>0</v>
      </c>
      <c r="AL737" s="905">
        <f>IFERROR(INDEX(G737:R737,1,MATCH(Parametres!$B$3,G$1:R$1,0)-1)*IF(OR(F737="L",F737="S",F737="I"),-1,1),"")</f>
        <v>0</v>
      </c>
      <c r="AM737" s="905">
        <f t="shared" si="45"/>
        <v>0</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f t="shared" si="46"/>
        <v>0</v>
      </c>
      <c r="AU737" s="488">
        <f t="shared" si="46"/>
        <v>0</v>
      </c>
      <c r="AV737" s="899">
        <f>IFERROR(INDEX(V737:AG737,1,MATCH(Parametres!$B$3,V$1:AG$1,0)-1)*IF(OR(C737="L",C737="S",C737="I"),-1,1),"")</f>
        <v>0</v>
      </c>
      <c r="AW737" s="899">
        <f t="shared" si="47"/>
        <v>0</v>
      </c>
      <c r="AX737" s="899">
        <f>INDEX(V737:AG737,1,MATCH(Parametres!$B$3,V$1:AG$1,0))*IF(OR(C737="L",C737="S",C737="I"),-1,1)</f>
        <v>0</v>
      </c>
      <c r="AY737" s="487" t="s">
        <v>337</v>
      </c>
      <c r="AZ737" s="487" t="e">
        <f>+VLOOKUP($AJ737,Data_Validation!$A:$E,5,0)</f>
        <v>#N/A</v>
      </c>
    </row>
    <row r="738" spans="36:52" ht="15" customHeight="1">
      <c r="AJ738" s="899">
        <f t="shared" si="48"/>
        <v>0</v>
      </c>
      <c r="AK738" s="899">
        <f t="shared" si="48"/>
        <v>0</v>
      </c>
      <c r="AL738" s="905">
        <f>IFERROR(INDEX(G738:R738,1,MATCH(Parametres!$B$3,G$1:R$1,0)-1)*IF(OR(F738="L",F738="S",F738="I"),-1,1),"")</f>
        <v>0</v>
      </c>
      <c r="AM738" s="905">
        <f t="shared" si="45"/>
        <v>0</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f t="shared" si="46"/>
        <v>0</v>
      </c>
      <c r="AU738" s="488">
        <f t="shared" si="46"/>
        <v>0</v>
      </c>
      <c r="AV738" s="899">
        <f>IFERROR(INDEX(V738:AG738,1,MATCH(Parametres!$B$3,V$1:AG$1,0)-1)*IF(OR(C738="L",C738="S",C738="I"),-1,1),"")</f>
        <v>0</v>
      </c>
      <c r="AW738" s="899">
        <f t="shared" si="47"/>
        <v>0</v>
      </c>
      <c r="AX738" s="899">
        <f>INDEX(V738:AG738,1,MATCH(Parametres!$B$3,V$1:AG$1,0))*IF(OR(C738="L",C738="S",C738="I"),-1,1)</f>
        <v>0</v>
      </c>
      <c r="AY738" s="487" t="s">
        <v>337</v>
      </c>
      <c r="AZ738" s="487" t="e">
        <f>+VLOOKUP($AJ738,Data_Validation!$A:$E,5,0)</f>
        <v>#N/A</v>
      </c>
    </row>
    <row r="739" spans="36:52" ht="15" customHeight="1">
      <c r="AJ739" s="899">
        <f t="shared" si="48"/>
        <v>0</v>
      </c>
      <c r="AK739" s="899">
        <f t="shared" si="48"/>
        <v>0</v>
      </c>
      <c r="AL739" s="905">
        <f>IFERROR(INDEX(G739:R739,1,MATCH(Parametres!$B$3,G$1:R$1,0)-1)*IF(OR(F739="L",F739="S",F739="I"),-1,1),"")</f>
        <v>0</v>
      </c>
      <c r="AM739" s="905">
        <f t="shared" si="45"/>
        <v>0</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f t="shared" si="46"/>
        <v>0</v>
      </c>
      <c r="AU739" s="488">
        <f t="shared" si="46"/>
        <v>0</v>
      </c>
      <c r="AV739" s="899">
        <f>IFERROR(INDEX(V739:AG739,1,MATCH(Parametres!$B$3,V$1:AG$1,0)-1)*IF(OR(C739="L",C739="S",C739="I"),-1,1),"")</f>
        <v>0</v>
      </c>
      <c r="AW739" s="899">
        <f t="shared" si="47"/>
        <v>0</v>
      </c>
      <c r="AX739" s="899">
        <f>INDEX(V739:AG739,1,MATCH(Parametres!$B$3,V$1:AG$1,0))*IF(OR(C739="L",C739="S",C739="I"),-1,1)</f>
        <v>0</v>
      </c>
      <c r="AY739" s="487" t="s">
        <v>337</v>
      </c>
      <c r="AZ739" s="487" t="e">
        <f>+VLOOKUP($AJ739,Data_Validation!$A:$E,5,0)</f>
        <v>#N/A</v>
      </c>
    </row>
    <row r="740" spans="36:52" ht="15" customHeight="1">
      <c r="AJ740" s="899">
        <f t="shared" si="48"/>
        <v>0</v>
      </c>
      <c r="AK740" s="899">
        <f t="shared" si="48"/>
        <v>0</v>
      </c>
      <c r="AL740" s="905">
        <f>IFERROR(INDEX(G740:R740,1,MATCH(Parametres!$B$3,G$1:R$1,0)-1)*IF(OR(F740="L",F740="S",F740="I"),-1,1),"")</f>
        <v>0</v>
      </c>
      <c r="AM740" s="905">
        <f t="shared" si="45"/>
        <v>0</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f t="shared" si="46"/>
        <v>0</v>
      </c>
      <c r="AU740" s="488">
        <f t="shared" si="46"/>
        <v>0</v>
      </c>
      <c r="AV740" s="899">
        <f>IFERROR(INDEX(V740:AG740,1,MATCH(Parametres!$B$3,V$1:AG$1,0)-1)*IF(OR(C740="L",C740="S",C740="I"),-1,1),"")</f>
        <v>0</v>
      </c>
      <c r="AW740" s="899">
        <f t="shared" si="47"/>
        <v>0</v>
      </c>
      <c r="AX740" s="899">
        <f>INDEX(V740:AG740,1,MATCH(Parametres!$B$3,V$1:AG$1,0))*IF(OR(C740="L",C740="S",C740="I"),-1,1)</f>
        <v>0</v>
      </c>
      <c r="AY740" s="487" t="s">
        <v>337</v>
      </c>
      <c r="AZ740" s="487" t="e">
        <f>+VLOOKUP($AJ740,Data_Validation!$A:$E,5,0)</f>
        <v>#N/A</v>
      </c>
    </row>
    <row r="741" spans="36:52" ht="15" customHeight="1">
      <c r="AJ741" s="899">
        <f t="shared" si="48"/>
        <v>0</v>
      </c>
      <c r="AK741" s="899">
        <f t="shared" si="48"/>
        <v>0</v>
      </c>
      <c r="AL741" s="905">
        <f>IFERROR(INDEX(G741:R741,1,MATCH(Parametres!$B$3,G$1:R$1,0)-1)*IF(OR(F741="L",F741="S",F741="I"),-1,1),"")</f>
        <v>0</v>
      </c>
      <c r="AM741" s="905">
        <f t="shared" si="45"/>
        <v>0</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f t="shared" si="46"/>
        <v>0</v>
      </c>
      <c r="AU741" s="488">
        <f t="shared" si="46"/>
        <v>0</v>
      </c>
      <c r="AV741" s="899">
        <f>IFERROR(INDEX(V741:AG741,1,MATCH(Parametres!$B$3,V$1:AG$1,0)-1)*IF(OR(C741="L",C741="S",C741="I"),-1,1),"")</f>
        <v>0</v>
      </c>
      <c r="AW741" s="899">
        <f t="shared" si="47"/>
        <v>0</v>
      </c>
      <c r="AX741" s="899">
        <f>INDEX(V741:AG741,1,MATCH(Parametres!$B$3,V$1:AG$1,0))*IF(OR(C741="L",C741="S",C741="I"),-1,1)</f>
        <v>0</v>
      </c>
      <c r="AY741" s="487" t="s">
        <v>337</v>
      </c>
      <c r="AZ741" s="487" t="e">
        <f>+VLOOKUP($AJ741,Data_Validation!$A:$E,5,0)</f>
        <v>#N/A</v>
      </c>
    </row>
    <row r="742" spans="36:52" ht="15" customHeight="1">
      <c r="AJ742" s="899">
        <f t="shared" si="48"/>
        <v>0</v>
      </c>
      <c r="AK742" s="899">
        <f t="shared" si="48"/>
        <v>0</v>
      </c>
      <c r="AL742" s="905">
        <f>IFERROR(INDEX(G742:R742,1,MATCH(Parametres!$B$3,G$1:R$1,0)-1)*IF(OR(F742="L",F742="S",F742="I"),-1,1),"")</f>
        <v>0</v>
      </c>
      <c r="AM742" s="905">
        <f t="shared" si="45"/>
        <v>0</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f t="shared" si="46"/>
        <v>0</v>
      </c>
      <c r="AU742" s="488">
        <f t="shared" si="46"/>
        <v>0</v>
      </c>
      <c r="AV742" s="899">
        <f>IFERROR(INDEX(V742:AG742,1,MATCH(Parametres!$B$3,V$1:AG$1,0)-1)*IF(OR(C742="L",C742="S",C742="I"),-1,1),"")</f>
        <v>0</v>
      </c>
      <c r="AW742" s="899">
        <f t="shared" si="47"/>
        <v>0</v>
      </c>
      <c r="AX742" s="899">
        <f>INDEX(V742:AG742,1,MATCH(Parametres!$B$3,V$1:AG$1,0))*IF(OR(C742="L",C742="S",C742="I"),-1,1)</f>
        <v>0</v>
      </c>
      <c r="AY742" s="487" t="s">
        <v>337</v>
      </c>
      <c r="AZ742" s="487" t="e">
        <f>+VLOOKUP($AJ742,Data_Validation!$A:$E,5,0)</f>
        <v>#N/A</v>
      </c>
    </row>
    <row r="743" spans="36:52" ht="15" customHeight="1">
      <c r="AJ743" s="899">
        <f t="shared" si="48"/>
        <v>0</v>
      </c>
      <c r="AK743" s="899">
        <f t="shared" si="48"/>
        <v>0</v>
      </c>
      <c r="AL743" s="905">
        <f>IFERROR(INDEX(G743:R743,1,MATCH(Parametres!$B$3,G$1:R$1,0)-1)*IF(OR(F743="L",F743="S",F743="I"),-1,1),"")</f>
        <v>0</v>
      </c>
      <c r="AM743" s="905">
        <f t="shared" si="45"/>
        <v>0</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f t="shared" si="46"/>
        <v>0</v>
      </c>
      <c r="AU743" s="488">
        <f t="shared" si="46"/>
        <v>0</v>
      </c>
      <c r="AV743" s="899">
        <f>IFERROR(INDEX(V743:AG743,1,MATCH(Parametres!$B$3,V$1:AG$1,0)-1)*IF(OR(C743="L",C743="S",C743="I"),-1,1),"")</f>
        <v>0</v>
      </c>
      <c r="AW743" s="899">
        <f t="shared" si="47"/>
        <v>0</v>
      </c>
      <c r="AX743" s="899">
        <f>INDEX(V743:AG743,1,MATCH(Parametres!$B$3,V$1:AG$1,0))*IF(OR(C743="L",C743="S",C743="I"),-1,1)</f>
        <v>0</v>
      </c>
      <c r="AY743" s="487" t="s">
        <v>337</v>
      </c>
      <c r="AZ743" s="487" t="e">
        <f>+VLOOKUP($AJ743,Data_Validation!$A:$E,5,0)</f>
        <v>#N/A</v>
      </c>
    </row>
    <row r="744" spans="36:52" ht="15" customHeight="1">
      <c r="AJ744" s="899">
        <f t="shared" si="48"/>
        <v>0</v>
      </c>
      <c r="AK744" s="899">
        <f t="shared" si="48"/>
        <v>0</v>
      </c>
      <c r="AL744" s="905">
        <f>IFERROR(INDEX(G744:R744,1,MATCH(Parametres!$B$3,G$1:R$1,0)-1)*IF(OR(F744="L",F744="S",F744="I"),-1,1),"")</f>
        <v>0</v>
      </c>
      <c r="AM744" s="905">
        <f t="shared" si="45"/>
        <v>0</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f t="shared" si="46"/>
        <v>0</v>
      </c>
      <c r="AU744" s="488">
        <f t="shared" si="46"/>
        <v>0</v>
      </c>
      <c r="AV744" s="899">
        <f>IFERROR(INDEX(V744:AG744,1,MATCH(Parametres!$B$3,V$1:AG$1,0)-1)*IF(OR(C744="L",C744="S",C744="I"),-1,1),"")</f>
        <v>0</v>
      </c>
      <c r="AW744" s="899">
        <f t="shared" si="47"/>
        <v>0</v>
      </c>
      <c r="AX744" s="899">
        <f>INDEX(V744:AG744,1,MATCH(Parametres!$B$3,V$1:AG$1,0))*IF(OR(C744="L",C744="S",C744="I"),-1,1)</f>
        <v>0</v>
      </c>
      <c r="AY744" s="487" t="s">
        <v>337</v>
      </c>
      <c r="AZ744" s="487" t="e">
        <f>+VLOOKUP($AJ744,Data_Validation!$A:$E,5,0)</f>
        <v>#N/A</v>
      </c>
    </row>
    <row r="745" spans="36:52" ht="15" customHeight="1">
      <c r="AJ745" s="899">
        <f t="shared" si="48"/>
        <v>0</v>
      </c>
      <c r="AK745" s="899">
        <f t="shared" si="48"/>
        <v>0</v>
      </c>
      <c r="AL745" s="905">
        <f>IFERROR(INDEX(G745:R745,1,MATCH(Parametres!$B$3,G$1:R$1,0)-1)*IF(OR(F745="L",F745="S",F745="I"),-1,1),"")</f>
        <v>0</v>
      </c>
      <c r="AM745" s="905">
        <f t="shared" si="45"/>
        <v>0</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f t="shared" si="46"/>
        <v>0</v>
      </c>
      <c r="AU745" s="488">
        <f t="shared" si="46"/>
        <v>0</v>
      </c>
      <c r="AV745" s="899">
        <f>IFERROR(INDEX(V745:AG745,1,MATCH(Parametres!$B$3,V$1:AG$1,0)-1)*IF(OR(C745="L",C745="S",C745="I"),-1,1),"")</f>
        <v>0</v>
      </c>
      <c r="AW745" s="899">
        <f t="shared" si="47"/>
        <v>0</v>
      </c>
      <c r="AX745" s="899">
        <f>INDEX(V745:AG745,1,MATCH(Parametres!$B$3,V$1:AG$1,0))*IF(OR(C745="L",C745="S",C745="I"),-1,1)</f>
        <v>0</v>
      </c>
      <c r="AY745" s="487" t="s">
        <v>337</v>
      </c>
      <c r="AZ745" s="487" t="e">
        <f>+VLOOKUP($AJ745,Data_Validation!$A:$E,5,0)</f>
        <v>#N/A</v>
      </c>
    </row>
    <row r="746" spans="36:52" ht="15" customHeight="1">
      <c r="AJ746" s="899">
        <f t="shared" si="48"/>
        <v>0</v>
      </c>
      <c r="AK746" s="899">
        <f t="shared" si="48"/>
        <v>0</v>
      </c>
      <c r="AL746" s="905">
        <f>IFERROR(INDEX(G746:R746,1,MATCH(Parametres!$B$3,G$1:R$1,0)-1)*IF(OR(F746="L",F746="S",F746="I"),-1,1),"")</f>
        <v>0</v>
      </c>
      <c r="AM746" s="905">
        <f t="shared" si="45"/>
        <v>0</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f t="shared" si="46"/>
        <v>0</v>
      </c>
      <c r="AU746" s="488">
        <f t="shared" si="46"/>
        <v>0</v>
      </c>
      <c r="AV746" s="899">
        <f>IFERROR(INDEX(V746:AG746,1,MATCH(Parametres!$B$3,V$1:AG$1,0)-1)*IF(OR(C746="L",C746="S",C746="I"),-1,1),"")</f>
        <v>0</v>
      </c>
      <c r="AW746" s="899">
        <f t="shared" si="47"/>
        <v>0</v>
      </c>
      <c r="AX746" s="899">
        <f>INDEX(V746:AG746,1,MATCH(Parametres!$B$3,V$1:AG$1,0))*IF(OR(C746="L",C746="S",C746="I"),-1,1)</f>
        <v>0</v>
      </c>
      <c r="AY746" s="487" t="s">
        <v>337</v>
      </c>
      <c r="AZ746" s="487" t="e">
        <f>+VLOOKUP($AJ746,Data_Validation!$A:$E,5,0)</f>
        <v>#N/A</v>
      </c>
    </row>
    <row r="747" spans="36:52" ht="15" customHeight="1">
      <c r="AJ747" s="899">
        <f t="shared" si="48"/>
        <v>0</v>
      </c>
      <c r="AK747" s="899">
        <f t="shared" si="48"/>
        <v>0</v>
      </c>
      <c r="AL747" s="905">
        <f>IFERROR(INDEX(G747:R747,1,MATCH(Parametres!$B$3,G$1:R$1,0)-1)*IF(OR(F747="L",F747="S",F747="I"),-1,1),"")</f>
        <v>0</v>
      </c>
      <c r="AM747" s="905">
        <f t="shared" si="45"/>
        <v>0</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f t="shared" si="46"/>
        <v>0</v>
      </c>
      <c r="AU747" s="488">
        <f t="shared" si="46"/>
        <v>0</v>
      </c>
      <c r="AV747" s="899">
        <f>IFERROR(INDEX(V747:AG747,1,MATCH(Parametres!$B$3,V$1:AG$1,0)-1)*IF(OR(C747="L",C747="S",C747="I"),-1,1),"")</f>
        <v>0</v>
      </c>
      <c r="AW747" s="899">
        <f t="shared" si="47"/>
        <v>0</v>
      </c>
      <c r="AX747" s="899">
        <f>INDEX(V747:AG747,1,MATCH(Parametres!$B$3,V$1:AG$1,0))*IF(OR(C747="L",C747="S",C747="I"),-1,1)</f>
        <v>0</v>
      </c>
      <c r="AY747" s="487" t="s">
        <v>337</v>
      </c>
      <c r="AZ747" s="487" t="e">
        <f>+VLOOKUP($AJ747,Data_Validation!$A:$E,5,0)</f>
        <v>#N/A</v>
      </c>
    </row>
    <row r="748" spans="36:52" ht="15" customHeight="1">
      <c r="AJ748" s="899">
        <f t="shared" si="48"/>
        <v>0</v>
      </c>
      <c r="AK748" s="899">
        <f t="shared" si="48"/>
        <v>0</v>
      </c>
      <c r="AL748" s="905">
        <f>IFERROR(INDEX(G748:R748,1,MATCH(Parametres!$B$3,G$1:R$1,0)-1)*IF(OR(F748="L",F748="S",F748="I"),-1,1),"")</f>
        <v>0</v>
      </c>
      <c r="AM748" s="905">
        <f t="shared" si="45"/>
        <v>0</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f t="shared" si="46"/>
        <v>0</v>
      </c>
      <c r="AU748" s="488">
        <f t="shared" si="46"/>
        <v>0</v>
      </c>
      <c r="AV748" s="899">
        <f>IFERROR(INDEX(V748:AG748,1,MATCH(Parametres!$B$3,V$1:AG$1,0)-1)*IF(OR(C748="L",C748="S",C748="I"),-1,1),"")</f>
        <v>0</v>
      </c>
      <c r="AW748" s="899">
        <f t="shared" si="47"/>
        <v>0</v>
      </c>
      <c r="AX748" s="899">
        <f>INDEX(V748:AG748,1,MATCH(Parametres!$B$3,V$1:AG$1,0))*IF(OR(C748="L",C748="S",C748="I"),-1,1)</f>
        <v>0</v>
      </c>
      <c r="AY748" s="487" t="s">
        <v>337</v>
      </c>
      <c r="AZ748" s="487" t="e">
        <f>+VLOOKUP($AJ748,Data_Validation!$A:$E,5,0)</f>
        <v>#N/A</v>
      </c>
    </row>
    <row r="749" spans="36:52" ht="15" customHeight="1">
      <c r="AJ749" s="899">
        <f t="shared" si="48"/>
        <v>0</v>
      </c>
      <c r="AK749" s="899">
        <f t="shared" si="48"/>
        <v>0</v>
      </c>
      <c r="AL749" s="905">
        <f>IFERROR(INDEX(G749:R749,1,MATCH(Parametres!$B$3,G$1:R$1,0)-1)*IF(OR(F749="L",F749="S",F749="I"),-1,1),"")</f>
        <v>0</v>
      </c>
      <c r="AM749" s="905">
        <f t="shared" si="45"/>
        <v>0</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f t="shared" si="46"/>
        <v>0</v>
      </c>
      <c r="AU749" s="488">
        <f t="shared" si="46"/>
        <v>0</v>
      </c>
      <c r="AV749" s="899">
        <f>IFERROR(INDEX(V749:AG749,1,MATCH(Parametres!$B$3,V$1:AG$1,0)-1)*IF(OR(C749="L",C749="S",C749="I"),-1,1),"")</f>
        <v>0</v>
      </c>
      <c r="AW749" s="899">
        <f t="shared" si="47"/>
        <v>0</v>
      </c>
      <c r="AX749" s="899">
        <f>INDEX(V749:AG749,1,MATCH(Parametres!$B$3,V$1:AG$1,0))*IF(OR(C749="L",C749="S",C749="I"),-1,1)</f>
        <v>0</v>
      </c>
      <c r="AY749" s="487" t="s">
        <v>337</v>
      </c>
      <c r="AZ749" s="487" t="e">
        <f>+VLOOKUP($AJ749,Data_Validation!$A:$E,5,0)</f>
        <v>#N/A</v>
      </c>
    </row>
    <row r="750" spans="36:52" ht="15" customHeight="1">
      <c r="AJ750" s="899">
        <f t="shared" si="48"/>
        <v>0</v>
      </c>
      <c r="AK750" s="899">
        <f t="shared" si="48"/>
        <v>0</v>
      </c>
      <c r="AL750" s="905">
        <f>IFERROR(INDEX(G750:R750,1,MATCH(Parametres!$B$3,G$1:R$1,0)-1)*IF(OR(F750="L",F750="S",F750="I"),-1,1),"")</f>
        <v>0</v>
      </c>
      <c r="AM750" s="905">
        <f t="shared" si="45"/>
        <v>0</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f t="shared" si="46"/>
        <v>0</v>
      </c>
      <c r="AU750" s="488">
        <f t="shared" si="46"/>
        <v>0</v>
      </c>
      <c r="AV750" s="899">
        <f>IFERROR(INDEX(V750:AG750,1,MATCH(Parametres!$B$3,V$1:AG$1,0)-1)*IF(OR(C750="L",C750="S",C750="I"),-1,1),"")</f>
        <v>0</v>
      </c>
      <c r="AW750" s="899">
        <f t="shared" si="47"/>
        <v>0</v>
      </c>
      <c r="AX750" s="899">
        <f>INDEX(V750:AG750,1,MATCH(Parametres!$B$3,V$1:AG$1,0))*IF(OR(C750="L",C750="S",C750="I"),-1,1)</f>
        <v>0</v>
      </c>
      <c r="AY750" s="487" t="s">
        <v>337</v>
      </c>
      <c r="AZ750" s="487" t="e">
        <f>+VLOOKUP($AJ750,Data_Validation!$A:$E,5,0)</f>
        <v>#N/A</v>
      </c>
    </row>
    <row r="751" spans="36:52" ht="15" customHeight="1">
      <c r="AJ751" s="899">
        <f t="shared" si="48"/>
        <v>0</v>
      </c>
      <c r="AK751" s="899">
        <f t="shared" si="48"/>
        <v>0</v>
      </c>
      <c r="AL751" s="905">
        <f>IFERROR(INDEX(G751:R751,1,MATCH(Parametres!$B$3,G$1:R$1,0)-1)*IF(OR(F751="L",F751="S",F751="I"),-1,1),"")</f>
        <v>0</v>
      </c>
      <c r="AM751" s="905">
        <f t="shared" si="45"/>
        <v>0</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f t="shared" si="46"/>
        <v>0</v>
      </c>
      <c r="AU751" s="488">
        <f t="shared" si="46"/>
        <v>0</v>
      </c>
      <c r="AV751" s="899">
        <f>IFERROR(INDEX(V751:AG751,1,MATCH(Parametres!$B$3,V$1:AG$1,0)-1)*IF(OR(C751="L",C751="S",C751="I"),-1,1),"")</f>
        <v>0</v>
      </c>
      <c r="AW751" s="899">
        <f t="shared" si="47"/>
        <v>0</v>
      </c>
      <c r="AX751" s="899">
        <f>INDEX(V751:AG751,1,MATCH(Parametres!$B$3,V$1:AG$1,0))*IF(OR(C751="L",C751="S",C751="I"),-1,1)</f>
        <v>0</v>
      </c>
      <c r="AY751" s="487" t="s">
        <v>337</v>
      </c>
      <c r="AZ751" s="487" t="e">
        <f>+VLOOKUP($AJ751,Data_Validation!$A:$E,5,0)</f>
        <v>#N/A</v>
      </c>
    </row>
    <row r="752" spans="36:52" ht="15" customHeight="1">
      <c r="AJ752" s="899">
        <f t="shared" si="48"/>
        <v>0</v>
      </c>
      <c r="AK752" s="899">
        <f t="shared" si="48"/>
        <v>0</v>
      </c>
      <c r="AL752" s="905">
        <f>IFERROR(INDEX(G752:R752,1,MATCH(Parametres!$B$3,G$1:R$1,0)-1)*IF(OR(F752="L",F752="S",F752="I"),-1,1),"")</f>
        <v>0</v>
      </c>
      <c r="AM752" s="905">
        <f t="shared" si="45"/>
        <v>0</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f t="shared" si="46"/>
        <v>0</v>
      </c>
      <c r="AU752" s="488">
        <f t="shared" si="46"/>
        <v>0</v>
      </c>
      <c r="AV752" s="899">
        <f>IFERROR(INDEX(V752:AG752,1,MATCH(Parametres!$B$3,V$1:AG$1,0)-1)*IF(OR(C752="L",C752="S",C752="I"),-1,1),"")</f>
        <v>0</v>
      </c>
      <c r="AW752" s="899">
        <f t="shared" si="47"/>
        <v>0</v>
      </c>
      <c r="AX752" s="899">
        <f>INDEX(V752:AG752,1,MATCH(Parametres!$B$3,V$1:AG$1,0))*IF(OR(C752="L",C752="S",C752="I"),-1,1)</f>
        <v>0</v>
      </c>
      <c r="AY752" s="487" t="s">
        <v>337</v>
      </c>
      <c r="AZ752" s="487" t="e">
        <f>+VLOOKUP($AJ752,Data_Validation!$A:$E,5,0)</f>
        <v>#N/A</v>
      </c>
    </row>
    <row r="753" spans="36:52" ht="15" customHeight="1">
      <c r="AJ753" s="899">
        <f t="shared" si="48"/>
        <v>0</v>
      </c>
      <c r="AK753" s="899">
        <f t="shared" si="48"/>
        <v>0</v>
      </c>
      <c r="AL753" s="905">
        <f>IFERROR(INDEX(G753:R753,1,MATCH(Parametres!$B$3,G$1:R$1,0)-1)*IF(OR(F753="L",F753="S",F753="I"),-1,1),"")</f>
        <v>0</v>
      </c>
      <c r="AM753" s="905">
        <f t="shared" si="45"/>
        <v>0</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f t="shared" si="46"/>
        <v>0</v>
      </c>
      <c r="AU753" s="488">
        <f t="shared" si="46"/>
        <v>0</v>
      </c>
      <c r="AV753" s="899">
        <f>IFERROR(INDEX(V753:AG753,1,MATCH(Parametres!$B$3,V$1:AG$1,0)-1)*IF(OR(C753="L",C753="S",C753="I"),-1,1),"")</f>
        <v>0</v>
      </c>
      <c r="AW753" s="899">
        <f t="shared" si="47"/>
        <v>0</v>
      </c>
      <c r="AX753" s="899">
        <f>INDEX(V753:AG753,1,MATCH(Parametres!$B$3,V$1:AG$1,0))*IF(OR(C753="L",C753="S",C753="I"),-1,1)</f>
        <v>0</v>
      </c>
      <c r="AY753" s="487" t="s">
        <v>337</v>
      </c>
      <c r="AZ753" s="487" t="e">
        <f>+VLOOKUP($AJ753,Data_Validation!$A:$E,5,0)</f>
        <v>#N/A</v>
      </c>
    </row>
    <row r="754" spans="36:52" ht="15" customHeight="1">
      <c r="AJ754" s="899">
        <f t="shared" si="48"/>
        <v>0</v>
      </c>
      <c r="AK754" s="899">
        <f t="shared" si="48"/>
        <v>0</v>
      </c>
      <c r="AL754" s="905">
        <f>IFERROR(INDEX(G754:R754,1,MATCH(Parametres!$B$3,G$1:R$1,0)-1)*IF(OR(F754="L",F754="S",F754="I"),-1,1),"")</f>
        <v>0</v>
      </c>
      <c r="AM754" s="905">
        <f t="shared" si="45"/>
        <v>0</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f t="shared" si="46"/>
        <v>0</v>
      </c>
      <c r="AU754" s="488">
        <f t="shared" si="46"/>
        <v>0</v>
      </c>
      <c r="AV754" s="899">
        <f>IFERROR(INDEX(V754:AG754,1,MATCH(Parametres!$B$3,V$1:AG$1,0)-1)*IF(OR(C754="L",C754="S",C754="I"),-1,1),"")</f>
        <v>0</v>
      </c>
      <c r="AW754" s="899">
        <f t="shared" si="47"/>
        <v>0</v>
      </c>
      <c r="AX754" s="899">
        <f>INDEX(V754:AG754,1,MATCH(Parametres!$B$3,V$1:AG$1,0))*IF(OR(C754="L",C754="S",C754="I"),-1,1)</f>
        <v>0</v>
      </c>
      <c r="AY754" s="487" t="s">
        <v>337</v>
      </c>
      <c r="AZ754" s="487" t="e">
        <f>+VLOOKUP($AJ754,Data_Validation!$A:$E,5,0)</f>
        <v>#N/A</v>
      </c>
    </row>
    <row r="755" spans="36:52" ht="15" customHeight="1">
      <c r="AJ755" s="899">
        <f t="shared" si="48"/>
        <v>0</v>
      </c>
      <c r="AK755" s="899">
        <f t="shared" si="48"/>
        <v>0</v>
      </c>
      <c r="AL755" s="905">
        <f>IFERROR(INDEX(G755:R755,1,MATCH(Parametres!$B$3,G$1:R$1,0)-1)*IF(OR(F755="L",F755="S",F755="I"),-1,1),"")</f>
        <v>0</v>
      </c>
      <c r="AM755" s="905">
        <f t="shared" si="45"/>
        <v>0</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f t="shared" si="46"/>
        <v>0</v>
      </c>
      <c r="AU755" s="488">
        <f t="shared" si="46"/>
        <v>0</v>
      </c>
      <c r="AV755" s="899">
        <f>IFERROR(INDEX(V755:AG755,1,MATCH(Parametres!$B$3,V$1:AG$1,0)-1)*IF(OR(C755="L",C755="S",C755="I"),-1,1),"")</f>
        <v>0</v>
      </c>
      <c r="AW755" s="899">
        <f t="shared" si="47"/>
        <v>0</v>
      </c>
      <c r="AX755" s="899">
        <f>INDEX(V755:AG755,1,MATCH(Parametres!$B$3,V$1:AG$1,0))*IF(OR(C755="L",C755="S",C755="I"),-1,1)</f>
        <v>0</v>
      </c>
      <c r="AY755" s="487" t="s">
        <v>337</v>
      </c>
      <c r="AZ755" s="487" t="e">
        <f>+VLOOKUP($AJ755,Data_Validation!$A:$E,5,0)</f>
        <v>#N/A</v>
      </c>
    </row>
    <row r="756" spans="36:52" ht="15" customHeight="1">
      <c r="AJ756" s="899">
        <f t="shared" si="48"/>
        <v>0</v>
      </c>
      <c r="AK756" s="899">
        <f t="shared" si="48"/>
        <v>0</v>
      </c>
      <c r="AL756" s="905">
        <f>IFERROR(INDEX(G756:R756,1,MATCH(Parametres!$B$3,G$1:R$1,0)-1)*IF(OR(F756="L",F756="S",F756="I"),-1,1),"")</f>
        <v>0</v>
      </c>
      <c r="AM756" s="905">
        <f t="shared" si="45"/>
        <v>0</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f t="shared" si="46"/>
        <v>0</v>
      </c>
      <c r="AU756" s="488">
        <f t="shared" si="46"/>
        <v>0</v>
      </c>
      <c r="AV756" s="899">
        <f>IFERROR(INDEX(V756:AG756,1,MATCH(Parametres!$B$3,V$1:AG$1,0)-1)*IF(OR(C756="L",C756="S",C756="I"),-1,1),"")</f>
        <v>0</v>
      </c>
      <c r="AW756" s="899">
        <f t="shared" si="47"/>
        <v>0</v>
      </c>
      <c r="AX756" s="899">
        <f>INDEX(V756:AG756,1,MATCH(Parametres!$B$3,V$1:AG$1,0))*IF(OR(C756="L",C756="S",C756="I"),-1,1)</f>
        <v>0</v>
      </c>
      <c r="AY756" s="487" t="s">
        <v>337</v>
      </c>
      <c r="AZ756" s="487" t="e">
        <f>+VLOOKUP($AJ756,Data_Validation!$A:$E,5,0)</f>
        <v>#N/A</v>
      </c>
    </row>
    <row r="757" spans="36:52" ht="15" customHeight="1">
      <c r="AJ757" s="899">
        <f t="shared" si="48"/>
        <v>0</v>
      </c>
      <c r="AK757" s="899">
        <f t="shared" si="48"/>
        <v>0</v>
      </c>
      <c r="AL757" s="905">
        <f>IFERROR(INDEX(G757:R757,1,MATCH(Parametres!$B$3,G$1:R$1,0)-1)*IF(OR(F757="L",F757="S",F757="I"),-1,1),"")</f>
        <v>0</v>
      </c>
      <c r="AM757" s="905">
        <f t="shared" si="45"/>
        <v>0</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f t="shared" si="46"/>
        <v>0</v>
      </c>
      <c r="AU757" s="488">
        <f t="shared" si="46"/>
        <v>0</v>
      </c>
      <c r="AV757" s="899">
        <f>IFERROR(INDEX(V757:AG757,1,MATCH(Parametres!$B$3,V$1:AG$1,0)-1)*IF(OR(C757="L",C757="S",C757="I"),-1,1),"")</f>
        <v>0</v>
      </c>
      <c r="AW757" s="899">
        <f t="shared" si="47"/>
        <v>0</v>
      </c>
      <c r="AX757" s="899">
        <f>INDEX(V757:AG757,1,MATCH(Parametres!$B$3,V$1:AG$1,0))*IF(OR(C757="L",C757="S",C757="I"),-1,1)</f>
        <v>0</v>
      </c>
      <c r="AY757" s="487" t="s">
        <v>337</v>
      </c>
      <c r="AZ757" s="487" t="e">
        <f>+VLOOKUP($AJ757,Data_Validation!$A:$E,5,0)</f>
        <v>#N/A</v>
      </c>
    </row>
    <row r="758" spans="36:52" ht="15" customHeight="1">
      <c r="AJ758" s="899">
        <f t="shared" si="48"/>
        <v>0</v>
      </c>
      <c r="AK758" s="899">
        <f t="shared" si="48"/>
        <v>0</v>
      </c>
      <c r="AL758" s="905">
        <f>IFERROR(INDEX(G758:R758,1,MATCH(Parametres!$B$3,G$1:R$1,0)-1)*IF(OR(F758="L",F758="S",F758="I"),-1,1),"")</f>
        <v>0</v>
      </c>
      <c r="AM758" s="905">
        <f t="shared" si="45"/>
        <v>0</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f t="shared" si="46"/>
        <v>0</v>
      </c>
      <c r="AU758" s="488">
        <f t="shared" si="46"/>
        <v>0</v>
      </c>
      <c r="AV758" s="899">
        <f>IFERROR(INDEX(V758:AG758,1,MATCH(Parametres!$B$3,V$1:AG$1,0)-1)*IF(OR(C758="L",C758="S",C758="I"),-1,1),"")</f>
        <v>0</v>
      </c>
      <c r="AW758" s="899">
        <f t="shared" si="47"/>
        <v>0</v>
      </c>
      <c r="AX758" s="899">
        <f>INDEX(V758:AG758,1,MATCH(Parametres!$B$3,V$1:AG$1,0))*IF(OR(C758="L",C758="S",C758="I"),-1,1)</f>
        <v>0</v>
      </c>
      <c r="AY758" s="487" t="s">
        <v>337</v>
      </c>
      <c r="AZ758" s="487" t="e">
        <f>+VLOOKUP($AJ758,Data_Validation!$A:$E,5,0)</f>
        <v>#N/A</v>
      </c>
    </row>
    <row r="759" spans="36:52" ht="15" customHeight="1">
      <c r="AJ759" s="899">
        <f t="shared" si="48"/>
        <v>0</v>
      </c>
      <c r="AK759" s="899">
        <f t="shared" si="48"/>
        <v>0</v>
      </c>
      <c r="AL759" s="905">
        <f>IFERROR(INDEX(G759:R759,1,MATCH(Parametres!$B$3,G$1:R$1,0)-1)*IF(OR(F759="L",F759="S",F759="I"),-1,1),"")</f>
        <v>0</v>
      </c>
      <c r="AM759" s="905">
        <f t="shared" si="45"/>
        <v>0</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f t="shared" si="46"/>
        <v>0</v>
      </c>
      <c r="AU759" s="488">
        <f t="shared" si="46"/>
        <v>0</v>
      </c>
      <c r="AV759" s="899">
        <f>IFERROR(INDEX(V759:AG759,1,MATCH(Parametres!$B$3,V$1:AG$1,0)-1)*IF(OR(C759="L",C759="S",C759="I"),-1,1),"")</f>
        <v>0</v>
      </c>
      <c r="AW759" s="899">
        <f t="shared" si="47"/>
        <v>0</v>
      </c>
      <c r="AX759" s="899">
        <f>INDEX(V759:AG759,1,MATCH(Parametres!$B$3,V$1:AG$1,0))*IF(OR(C759="L",C759="S",C759="I"),-1,1)</f>
        <v>0</v>
      </c>
      <c r="AY759" s="487" t="s">
        <v>337</v>
      </c>
      <c r="AZ759" s="487" t="e">
        <f>+VLOOKUP($AJ759,Data_Validation!$A:$E,5,0)</f>
        <v>#N/A</v>
      </c>
    </row>
    <row r="760" spans="36:52" ht="15" customHeight="1">
      <c r="AJ760" s="899">
        <f t="shared" si="48"/>
        <v>0</v>
      </c>
      <c r="AK760" s="899">
        <f t="shared" si="48"/>
        <v>0</v>
      </c>
      <c r="AL760" s="905">
        <f>IFERROR(INDEX(G760:R760,1,MATCH(Parametres!$B$3,G$1:R$1,0)-1)*IF(OR(F760="L",F760="S",F760="I"),-1,1),"")</f>
        <v>0</v>
      </c>
      <c r="AM760" s="905">
        <f t="shared" si="45"/>
        <v>0</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f t="shared" si="46"/>
        <v>0</v>
      </c>
      <c r="AU760" s="488">
        <f t="shared" si="46"/>
        <v>0</v>
      </c>
      <c r="AV760" s="899">
        <f>IFERROR(INDEX(V760:AG760,1,MATCH(Parametres!$B$3,V$1:AG$1,0)-1)*IF(OR(C760="L",C760="S",C760="I"),-1,1),"")</f>
        <v>0</v>
      </c>
      <c r="AW760" s="899">
        <f t="shared" si="47"/>
        <v>0</v>
      </c>
      <c r="AX760" s="899">
        <f>INDEX(V760:AG760,1,MATCH(Parametres!$B$3,V$1:AG$1,0))*IF(OR(C760="L",C760="S",C760="I"),-1,1)</f>
        <v>0</v>
      </c>
      <c r="AY760" s="487" t="s">
        <v>337</v>
      </c>
      <c r="AZ760" s="487" t="e">
        <f>+VLOOKUP($AJ760,Data_Validation!$A:$E,5,0)</f>
        <v>#N/A</v>
      </c>
    </row>
    <row r="761" spans="36:52" ht="15" customHeight="1">
      <c r="AJ761" s="899">
        <f t="shared" si="48"/>
        <v>0</v>
      </c>
      <c r="AK761" s="899">
        <f t="shared" si="48"/>
        <v>0</v>
      </c>
      <c r="AL761" s="905">
        <f>IFERROR(INDEX(G761:R761,1,MATCH(Parametres!$B$3,G$1:R$1,0)-1)*IF(OR(F761="L",F761="S",F761="I"),-1,1),"")</f>
        <v>0</v>
      </c>
      <c r="AM761" s="905">
        <f t="shared" si="45"/>
        <v>0</v>
      </c>
      <c r="AN761" s="905">
        <f>INDEX(G761:R761,1,MATCH(Parametres!$B$3,G$1:R$1,0))*IF(OR(F761="L",F761="S",F761="I"),-1,1)</f>
        <v>0</v>
      </c>
      <c r="AO761" s="487" t="e">
        <f>+VLOOKUP($AJ761,Data_Validation!$A:$D,1,0)</f>
        <v>#N/A</v>
      </c>
      <c r="AP761" s="487" t="e">
        <f>+VLOOKUP($AJ761,Data_Validation!$A:$D,3,0)</f>
        <v>#N/A</v>
      </c>
      <c r="AQ761" s="487" t="e">
        <f>+VLOOKUP($AJ761,Data_Validation!$A:$D,4,0)</f>
        <v>#N/A</v>
      </c>
      <c r="AR761" s="487" t="s">
        <v>299</v>
      </c>
      <c r="AS761" s="487" t="e">
        <f>+VLOOKUP($AJ761,Data_Validation!$A:$E,5,0)</f>
        <v>#N/A</v>
      </c>
      <c r="AT761" s="904">
        <f t="shared" si="46"/>
        <v>0</v>
      </c>
      <c r="AU761" s="488">
        <f t="shared" si="46"/>
        <v>0</v>
      </c>
      <c r="AV761" s="899">
        <f>IFERROR(INDEX(V761:AG761,1,MATCH(Parametres!$B$3,V$1:AG$1,0)-1)*IF(OR(C761="L",C761="S",C761="I"),-1,1),"")</f>
        <v>0</v>
      </c>
      <c r="AW761" s="899">
        <f t="shared" si="47"/>
        <v>0</v>
      </c>
      <c r="AX761" s="899">
        <f>INDEX(V761:AG761,1,MATCH(Parametres!$B$3,V$1:AG$1,0))*IF(OR(C761="L",C761="S",C761="I"),-1,1)</f>
        <v>0</v>
      </c>
      <c r="AY761" s="487" t="s">
        <v>337</v>
      </c>
      <c r="AZ761" s="487" t="e">
        <f>+VLOOKUP($AJ761,Data_Validation!$A:$E,5,0)</f>
        <v>#N/A</v>
      </c>
    </row>
    <row r="762" spans="36:52" ht="15" customHeight="1">
      <c r="AJ762" s="899">
        <f t="shared" si="48"/>
        <v>0</v>
      </c>
      <c r="AK762" s="899">
        <f t="shared" si="48"/>
        <v>0</v>
      </c>
      <c r="AL762" s="905">
        <f>IFERROR(INDEX(G762:R762,1,MATCH(Parametres!$B$3,G$1:R$1,0)-1)*IF(OR(F762="L",F762="S",F762="I"),-1,1),"")</f>
        <v>0</v>
      </c>
      <c r="AM762" s="905">
        <f t="shared" si="45"/>
        <v>0</v>
      </c>
      <c r="AN762" s="905">
        <f>INDEX(G762:R762,1,MATCH(Parametres!$B$3,G$1:R$1,0))*IF(OR(F762="L",F762="S",F762="I"),-1,1)</f>
        <v>0</v>
      </c>
      <c r="AO762" s="487" t="e">
        <f>+VLOOKUP($AJ762,Data_Validation!$A:$D,1,0)</f>
        <v>#N/A</v>
      </c>
      <c r="AP762" s="487" t="e">
        <f>+VLOOKUP($AJ762,Data_Validation!$A:$D,3,0)</f>
        <v>#N/A</v>
      </c>
      <c r="AQ762" s="487" t="e">
        <f>+VLOOKUP($AJ762,Data_Validation!$A:$D,4,0)</f>
        <v>#N/A</v>
      </c>
      <c r="AR762" s="487" t="s">
        <v>299</v>
      </c>
      <c r="AS762" s="487" t="e">
        <f>+VLOOKUP($AJ762,Data_Validation!$A:$E,5,0)</f>
        <v>#N/A</v>
      </c>
      <c r="AT762" s="904">
        <f t="shared" si="46"/>
        <v>0</v>
      </c>
      <c r="AU762" s="488">
        <f t="shared" si="46"/>
        <v>0</v>
      </c>
      <c r="AV762" s="899">
        <f>IFERROR(INDEX(V762:AG762,1,MATCH(Parametres!$B$3,V$1:AG$1,0)-1)*IF(OR(C762="L",C762="S",C762="I"),-1,1),"")</f>
        <v>0</v>
      </c>
      <c r="AW762" s="899">
        <f t="shared" si="47"/>
        <v>0</v>
      </c>
      <c r="AX762" s="899">
        <f>INDEX(V762:AG762,1,MATCH(Parametres!$B$3,V$1:AG$1,0))*IF(OR(C762="L",C762="S",C762="I"),-1,1)</f>
        <v>0</v>
      </c>
      <c r="AY762" s="487" t="s">
        <v>337</v>
      </c>
      <c r="AZ762" s="487" t="e">
        <f>+VLOOKUP($AJ762,Data_Validation!$A:$E,5,0)</f>
        <v>#N/A</v>
      </c>
    </row>
    <row r="763" spans="36:52" ht="15" customHeight="1">
      <c r="AJ763" s="899">
        <f t="shared" si="48"/>
        <v>0</v>
      </c>
      <c r="AK763" s="899">
        <f t="shared" si="48"/>
        <v>0</v>
      </c>
      <c r="AL763" s="905">
        <f>IFERROR(INDEX(G763:R763,1,MATCH(Parametres!$B$3,G$1:R$1,0)-1)*IF(OR(F763="L",F763="S",F763="I"),-1,1),"")</f>
        <v>0</v>
      </c>
      <c r="AM763" s="905">
        <f t="shared" si="45"/>
        <v>0</v>
      </c>
      <c r="AN763" s="905">
        <f>INDEX(G763:R763,1,MATCH(Parametres!$B$3,G$1:R$1,0))*IF(OR(F763="L",F763="S",F763="I"),-1,1)</f>
        <v>0</v>
      </c>
      <c r="AO763" s="487" t="e">
        <f>+VLOOKUP($AJ763,Data_Validation!$A:$D,1,0)</f>
        <v>#N/A</v>
      </c>
      <c r="AP763" s="487" t="e">
        <f>+VLOOKUP($AJ763,Data_Validation!$A:$D,3,0)</f>
        <v>#N/A</v>
      </c>
      <c r="AQ763" s="487" t="e">
        <f>+VLOOKUP($AJ763,Data_Validation!$A:$D,4,0)</f>
        <v>#N/A</v>
      </c>
      <c r="AR763" s="487" t="s">
        <v>299</v>
      </c>
      <c r="AS763" s="487" t="e">
        <f>+VLOOKUP($AJ763,Data_Validation!$A:$E,5,0)</f>
        <v>#N/A</v>
      </c>
      <c r="AT763" s="904">
        <f t="shared" si="46"/>
        <v>0</v>
      </c>
      <c r="AU763" s="488">
        <f t="shared" si="46"/>
        <v>0</v>
      </c>
      <c r="AV763" s="899">
        <f>IFERROR(INDEX(V763:AG763,1,MATCH(Parametres!$B$3,V$1:AG$1,0)-1)*IF(OR(C763="L",C763="S",C763="I"),-1,1),"")</f>
        <v>0</v>
      </c>
      <c r="AW763" s="899">
        <f t="shared" si="47"/>
        <v>0</v>
      </c>
      <c r="AX763" s="899">
        <f>INDEX(V763:AG763,1,MATCH(Parametres!$B$3,V$1:AG$1,0))*IF(OR(C763="L",C763="S",C763="I"),-1,1)</f>
        <v>0</v>
      </c>
      <c r="AY763" s="487" t="s">
        <v>337</v>
      </c>
      <c r="AZ763" s="487" t="e">
        <f>+VLOOKUP($AJ763,Data_Validation!$A:$E,5,0)</f>
        <v>#N/A</v>
      </c>
    </row>
    <row r="764" spans="36:52" ht="15" customHeight="1">
      <c r="AJ764" s="899">
        <f t="shared" si="48"/>
        <v>0</v>
      </c>
      <c r="AK764" s="899">
        <f t="shared" si="48"/>
        <v>0</v>
      </c>
      <c r="AL764" s="905">
        <f>IFERROR(INDEX(G764:R764,1,MATCH(Parametres!$B$3,G$1:R$1,0)-1)*IF(OR(F764="L",F764="S",F764="I"),-1,1),"")</f>
        <v>0</v>
      </c>
      <c r="AM764" s="905">
        <f t="shared" si="45"/>
        <v>0</v>
      </c>
      <c r="AN764" s="905">
        <f>INDEX(G764:R764,1,MATCH(Parametres!$B$3,G$1:R$1,0))*IF(OR(F764="L",F764="S",F764="I"),-1,1)</f>
        <v>0</v>
      </c>
      <c r="AO764" s="487" t="e">
        <f>+VLOOKUP($AJ764,Data_Validation!$A:$D,1,0)</f>
        <v>#N/A</v>
      </c>
      <c r="AP764" s="487" t="e">
        <f>+VLOOKUP($AJ764,Data_Validation!$A:$D,3,0)</f>
        <v>#N/A</v>
      </c>
      <c r="AQ764" s="487" t="e">
        <f>+VLOOKUP($AJ764,Data_Validation!$A:$D,4,0)</f>
        <v>#N/A</v>
      </c>
      <c r="AR764" s="487" t="s">
        <v>299</v>
      </c>
      <c r="AS764" s="487" t="e">
        <f>+VLOOKUP($AJ764,Data_Validation!$A:$E,5,0)</f>
        <v>#N/A</v>
      </c>
      <c r="AT764" s="904">
        <f t="shared" si="46"/>
        <v>0</v>
      </c>
      <c r="AU764" s="488">
        <f t="shared" si="46"/>
        <v>0</v>
      </c>
      <c r="AV764" s="899">
        <f>IFERROR(INDEX(V764:AG764,1,MATCH(Parametres!$B$3,V$1:AG$1,0)-1)*IF(OR(C764="L",C764="S",C764="I"),-1,1),"")</f>
        <v>0</v>
      </c>
      <c r="AW764" s="899">
        <f t="shared" si="47"/>
        <v>0</v>
      </c>
      <c r="AX764" s="899">
        <f>INDEX(V764:AG764,1,MATCH(Parametres!$B$3,V$1:AG$1,0))*IF(OR(C764="L",C764="S",C764="I"),-1,1)</f>
        <v>0</v>
      </c>
      <c r="AY764" s="487" t="s">
        <v>337</v>
      </c>
      <c r="AZ764" s="487" t="e">
        <f>+VLOOKUP($AJ764,Data_Validation!$A:$E,5,0)</f>
        <v>#N/A</v>
      </c>
    </row>
    <row r="765" spans="36:52" ht="15" customHeight="1">
      <c r="AJ765" s="899">
        <f t="shared" si="48"/>
        <v>0</v>
      </c>
      <c r="AK765" s="899">
        <f t="shared" si="48"/>
        <v>0</v>
      </c>
      <c r="AL765" s="905">
        <f>IFERROR(INDEX(G765:R765,1,MATCH(Parametres!$B$3,G$1:R$1,0)-1)*IF(OR(F765="L",F765="S",F765="I"),-1,1),"")</f>
        <v>0</v>
      </c>
      <c r="AM765" s="905">
        <f t="shared" si="45"/>
        <v>0</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f t="shared" si="46"/>
        <v>0</v>
      </c>
      <c r="AU765" s="488">
        <f t="shared" si="46"/>
        <v>0</v>
      </c>
      <c r="AV765" s="899">
        <f>IFERROR(INDEX(V765:AG765,1,MATCH(Parametres!$B$3,V$1:AG$1,0)-1)*IF(OR(C765="L",C765="S",C765="I"),-1,1),"")</f>
        <v>0</v>
      </c>
      <c r="AW765" s="899">
        <f t="shared" si="47"/>
        <v>0</v>
      </c>
      <c r="AX765" s="899">
        <f>INDEX(V765:AG765,1,MATCH(Parametres!$B$3,V$1:AG$1,0))*IF(OR(C765="L",C765="S",C765="I"),-1,1)</f>
        <v>0</v>
      </c>
      <c r="AY765" s="487" t="s">
        <v>337</v>
      </c>
      <c r="AZ765" s="487" t="e">
        <f>+VLOOKUP($AJ765,Data_Validation!$A:$E,5,0)</f>
        <v>#N/A</v>
      </c>
    </row>
    <row r="766" spans="36:52" ht="15" customHeight="1">
      <c r="AJ766" s="899">
        <f t="shared" si="48"/>
        <v>0</v>
      </c>
      <c r="AK766" s="899">
        <f t="shared" si="48"/>
        <v>0</v>
      </c>
      <c r="AL766" s="905">
        <f>IFERROR(INDEX(G766:R766,1,MATCH(Parametres!$B$3,G$1:R$1,0)-1)*IF(OR(F766="L",F766="S",F766="I"),-1,1),"")</f>
        <v>0</v>
      </c>
      <c r="AM766" s="905">
        <f t="shared" si="45"/>
        <v>0</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f t="shared" si="46"/>
        <v>0</v>
      </c>
      <c r="AU766" s="488">
        <f t="shared" si="46"/>
        <v>0</v>
      </c>
      <c r="AV766" s="899">
        <f>IFERROR(INDEX(V766:AG766,1,MATCH(Parametres!$B$3,V$1:AG$1,0)-1)*IF(OR(C766="L",C766="S",C766="I"),-1,1),"")</f>
        <v>0</v>
      </c>
      <c r="AW766" s="899">
        <f t="shared" si="47"/>
        <v>0</v>
      </c>
      <c r="AX766" s="899">
        <f>INDEX(V766:AG766,1,MATCH(Parametres!$B$3,V$1:AG$1,0))*IF(OR(C766="L",C766="S",C766="I"),-1,1)</f>
        <v>0</v>
      </c>
      <c r="AY766" s="487" t="s">
        <v>337</v>
      </c>
      <c r="AZ766" s="487" t="e">
        <f>+VLOOKUP($AJ766,Data_Validation!$A:$E,5,0)</f>
        <v>#N/A</v>
      </c>
    </row>
    <row r="767" spans="36:52" ht="15" customHeight="1">
      <c r="AJ767" s="899">
        <f t="shared" si="48"/>
        <v>0</v>
      </c>
      <c r="AK767" s="899">
        <f t="shared" si="48"/>
        <v>0</v>
      </c>
      <c r="AL767" s="905">
        <f>IFERROR(INDEX(G767:R767,1,MATCH(Parametres!$B$3,G$1:R$1,0)-1)*IF(OR(F767="L",F767="S",F767="I"),-1,1),"")</f>
        <v>0</v>
      </c>
      <c r="AM767" s="905">
        <f t="shared" si="45"/>
        <v>0</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f t="shared" si="46"/>
        <v>0</v>
      </c>
      <c r="AU767" s="488">
        <f t="shared" si="46"/>
        <v>0</v>
      </c>
      <c r="AV767" s="899">
        <f>IFERROR(INDEX(V767:AG767,1,MATCH(Parametres!$B$3,V$1:AG$1,0)-1)*IF(OR(C767="L",C767="S",C767="I"),-1,1),"")</f>
        <v>0</v>
      </c>
      <c r="AW767" s="899">
        <f t="shared" si="47"/>
        <v>0</v>
      </c>
      <c r="AX767" s="899">
        <f>INDEX(V767:AG767,1,MATCH(Parametres!$B$3,V$1:AG$1,0))*IF(OR(C767="L",C767="S",C767="I"),-1,1)</f>
        <v>0</v>
      </c>
      <c r="AY767" s="487" t="s">
        <v>337</v>
      </c>
      <c r="AZ767" s="487" t="e">
        <f>+VLOOKUP($AJ767,Data_Validation!$A:$E,5,0)</f>
        <v>#N/A</v>
      </c>
    </row>
    <row r="768" spans="36:52" ht="15" customHeight="1">
      <c r="AJ768" s="899">
        <f t="shared" si="48"/>
        <v>0</v>
      </c>
      <c r="AK768" s="899">
        <f t="shared" si="48"/>
        <v>0</v>
      </c>
      <c r="AL768" s="905">
        <f>IFERROR(INDEX(G768:R768,1,MATCH(Parametres!$B$3,G$1:R$1,0)-1)*IF(OR(F768="L",F768="S",F768="I"),-1,1),"")</f>
        <v>0</v>
      </c>
      <c r="AM768" s="905">
        <f t="shared" si="45"/>
        <v>0</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f t="shared" si="46"/>
        <v>0</v>
      </c>
      <c r="AU768" s="488">
        <f t="shared" si="46"/>
        <v>0</v>
      </c>
      <c r="AV768" s="899">
        <f>IFERROR(INDEX(V768:AG768,1,MATCH(Parametres!$B$3,V$1:AG$1,0)-1)*IF(OR(C768="L",C768="S",C768="I"),-1,1),"")</f>
        <v>0</v>
      </c>
      <c r="AW768" s="899">
        <f t="shared" si="47"/>
        <v>0</v>
      </c>
      <c r="AX768" s="899">
        <f>INDEX(V768:AG768,1,MATCH(Parametres!$B$3,V$1:AG$1,0))*IF(OR(C768="L",C768="S",C768="I"),-1,1)</f>
        <v>0</v>
      </c>
      <c r="AY768" s="487" t="s">
        <v>337</v>
      </c>
      <c r="AZ768" s="487" t="e">
        <f>+VLOOKUP($AJ768,Data_Validation!$A:$E,5,0)</f>
        <v>#N/A</v>
      </c>
    </row>
    <row r="769" spans="36:52" ht="15" customHeight="1">
      <c r="AJ769" s="899">
        <f t="shared" si="48"/>
        <v>0</v>
      </c>
      <c r="AK769" s="899">
        <f t="shared" si="48"/>
        <v>0</v>
      </c>
      <c r="AL769" s="905">
        <f>IFERROR(INDEX(G769:R769,1,MATCH(Parametres!$B$3,G$1:R$1,0)-1)*IF(OR(F769="L",F769="S",F769="I"),-1,1),"")</f>
        <v>0</v>
      </c>
      <c r="AM769" s="905">
        <f t="shared" si="45"/>
        <v>0</v>
      </c>
      <c r="AN769" s="905">
        <f>INDEX(G769:R769,1,MATCH(Parametres!$B$3,G$1:R$1,0))*IF(OR(F769="L",F769="S",F769="I"),-1,1)</f>
        <v>0</v>
      </c>
      <c r="AO769" s="487" t="e">
        <f>+VLOOKUP($AJ769,Data_Validation!$A:$D,1,0)</f>
        <v>#N/A</v>
      </c>
      <c r="AP769" s="487" t="e">
        <f>+VLOOKUP($AJ769,Data_Validation!$A:$D,3,0)</f>
        <v>#N/A</v>
      </c>
      <c r="AQ769" s="487" t="e">
        <f>+VLOOKUP($AJ769,Data_Validation!$A:$D,4,0)</f>
        <v>#N/A</v>
      </c>
      <c r="AR769" s="487" t="s">
        <v>299</v>
      </c>
      <c r="AS769" s="487" t="e">
        <f>+VLOOKUP($AJ769,Data_Validation!$A:$E,5,0)</f>
        <v>#N/A</v>
      </c>
      <c r="AT769" s="904">
        <f t="shared" si="46"/>
        <v>0</v>
      </c>
      <c r="AU769" s="488">
        <f t="shared" si="46"/>
        <v>0</v>
      </c>
      <c r="AV769" s="899">
        <f>IFERROR(INDEX(V769:AG769,1,MATCH(Parametres!$B$3,V$1:AG$1,0)-1)*IF(OR(C769="L",C769="S",C769="I"),-1,1),"")</f>
        <v>0</v>
      </c>
      <c r="AW769" s="899">
        <f t="shared" si="47"/>
        <v>0</v>
      </c>
      <c r="AX769" s="899">
        <f>INDEX(V769:AG769,1,MATCH(Parametres!$B$3,V$1:AG$1,0))*IF(OR(C769="L",C769="S",C769="I"),-1,1)</f>
        <v>0</v>
      </c>
      <c r="AY769" s="487" t="s">
        <v>337</v>
      </c>
      <c r="AZ769" s="487" t="e">
        <f>+VLOOKUP($AJ769,Data_Validation!$A:$E,5,0)</f>
        <v>#N/A</v>
      </c>
    </row>
    <row r="770" spans="36:52" ht="15" customHeight="1">
      <c r="AJ770" s="899">
        <f t="shared" si="48"/>
        <v>0</v>
      </c>
      <c r="AK770" s="899">
        <f t="shared" si="48"/>
        <v>0</v>
      </c>
      <c r="AL770" s="905">
        <f>IFERROR(INDEX(G770:R770,1,MATCH(Parametres!$B$3,G$1:R$1,0)-1)*IF(OR(F770="L",F770="S",F770="I"),-1,1),"")</f>
        <v>0</v>
      </c>
      <c r="AM770" s="905">
        <f t="shared" si="45"/>
        <v>0</v>
      </c>
      <c r="AN770" s="905">
        <f>INDEX(G770:R770,1,MATCH(Parametres!$B$3,G$1:R$1,0))*IF(OR(F770="L",F770="S",F770="I"),-1,1)</f>
        <v>0</v>
      </c>
      <c r="AO770" s="487" t="e">
        <f>+VLOOKUP($AJ770,Data_Validation!$A:$D,1,0)</f>
        <v>#N/A</v>
      </c>
      <c r="AP770" s="487" t="e">
        <f>+VLOOKUP($AJ770,Data_Validation!$A:$D,3,0)</f>
        <v>#N/A</v>
      </c>
      <c r="AQ770" s="487" t="e">
        <f>+VLOOKUP($AJ770,Data_Validation!$A:$D,4,0)</f>
        <v>#N/A</v>
      </c>
      <c r="AR770" s="487" t="s">
        <v>299</v>
      </c>
      <c r="AS770" s="487" t="e">
        <f>+VLOOKUP($AJ770,Data_Validation!$A:$E,5,0)</f>
        <v>#N/A</v>
      </c>
      <c r="AT770" s="904">
        <f t="shared" si="46"/>
        <v>0</v>
      </c>
      <c r="AU770" s="488">
        <f t="shared" si="46"/>
        <v>0</v>
      </c>
      <c r="AV770" s="899">
        <f>IFERROR(INDEX(V770:AG770,1,MATCH(Parametres!$B$3,V$1:AG$1,0)-1)*IF(OR(C770="L",C770="S",C770="I"),-1,1),"")</f>
        <v>0</v>
      </c>
      <c r="AW770" s="899">
        <f t="shared" si="47"/>
        <v>0</v>
      </c>
      <c r="AX770" s="899">
        <f>INDEX(V770:AG770,1,MATCH(Parametres!$B$3,V$1:AG$1,0))*IF(OR(C770="L",C770="S",C770="I"),-1,1)</f>
        <v>0</v>
      </c>
      <c r="AY770" s="487" t="s">
        <v>337</v>
      </c>
      <c r="AZ770" s="487" t="e">
        <f>+VLOOKUP($AJ770,Data_Validation!$A:$E,5,0)</f>
        <v>#N/A</v>
      </c>
    </row>
    <row r="771" spans="36:52" ht="15" customHeight="1">
      <c r="AJ771" s="899">
        <f t="shared" si="48"/>
        <v>0</v>
      </c>
      <c r="AK771" s="899">
        <f t="shared" si="48"/>
        <v>0</v>
      </c>
      <c r="AL771" s="905">
        <f>IFERROR(INDEX(G771:R771,1,MATCH(Parametres!$B$3,G$1:R$1,0)-1)*IF(OR(F771="L",F771="S",F771="I"),-1,1),"")</f>
        <v>0</v>
      </c>
      <c r="AM771" s="905">
        <f t="shared" si="45"/>
        <v>0</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f t="shared" si="46"/>
        <v>0</v>
      </c>
      <c r="AU771" s="488">
        <f t="shared" si="46"/>
        <v>0</v>
      </c>
      <c r="AV771" s="899">
        <f>IFERROR(INDEX(V771:AG771,1,MATCH(Parametres!$B$3,V$1:AG$1,0)-1)*IF(OR(C771="L",C771="S",C771="I"),-1,1),"")</f>
        <v>0</v>
      </c>
      <c r="AW771" s="899">
        <f t="shared" si="47"/>
        <v>0</v>
      </c>
      <c r="AX771" s="899">
        <f>INDEX(V771:AG771,1,MATCH(Parametres!$B$3,V$1:AG$1,0))*IF(OR(C771="L",C771="S",C771="I"),-1,1)</f>
        <v>0</v>
      </c>
      <c r="AY771" s="487" t="s">
        <v>337</v>
      </c>
      <c r="AZ771" s="487" t="e">
        <f>+VLOOKUP($AJ771,Data_Validation!$A:$E,5,0)</f>
        <v>#N/A</v>
      </c>
    </row>
    <row r="772" spans="36:52" ht="15" customHeight="1">
      <c r="AJ772" s="899">
        <f t="shared" si="48"/>
        <v>0</v>
      </c>
      <c r="AK772" s="899">
        <f t="shared" si="48"/>
        <v>0</v>
      </c>
      <c r="AL772" s="905">
        <f>IFERROR(INDEX(G772:R772,1,MATCH(Parametres!$B$3,G$1:R$1,0)-1)*IF(OR(F772="L",F772="S",F772="I"),-1,1),"")</f>
        <v>0</v>
      </c>
      <c r="AM772" s="905">
        <f t="shared" ref="AM772:AM792" si="49">AN772-AL772</f>
        <v>0</v>
      </c>
      <c r="AN772" s="905">
        <f>INDEX(G772:R772,1,MATCH(Parametres!$B$3,G$1:R$1,0))*IF(OR(F772="L",F772="S",F772="I"),-1,1)</f>
        <v>0</v>
      </c>
      <c r="AO772" s="487" t="e">
        <f>+VLOOKUP($AJ772,Data_Validation!$A:$D,1,0)</f>
        <v>#N/A</v>
      </c>
      <c r="AP772" s="487" t="e">
        <f>+VLOOKUP($AJ772,Data_Validation!$A:$D,3,0)</f>
        <v>#N/A</v>
      </c>
      <c r="AQ772" s="487" t="e">
        <f>+VLOOKUP($AJ772,Data_Validation!$A:$D,4,0)</f>
        <v>#N/A</v>
      </c>
      <c r="AR772" s="487" t="s">
        <v>299</v>
      </c>
      <c r="AS772" s="487" t="e">
        <f>+VLOOKUP($AJ772,Data_Validation!$A:$E,5,0)</f>
        <v>#N/A</v>
      </c>
      <c r="AT772" s="904">
        <f t="shared" ref="AT772:AU792" si="50">C772</f>
        <v>0</v>
      </c>
      <c r="AU772" s="488">
        <f t="shared" si="50"/>
        <v>0</v>
      </c>
      <c r="AV772" s="899">
        <f>IFERROR(INDEX(V772:AG772,1,MATCH(Parametres!$B$3,V$1:AG$1,0)-1)*IF(OR(C772="L",C772="S",C772="I"),-1,1),"")</f>
        <v>0</v>
      </c>
      <c r="AW772" s="899">
        <f t="shared" ref="AW772:AW792" si="51">AX772-AV772</f>
        <v>0</v>
      </c>
      <c r="AX772" s="899">
        <f>INDEX(V772:AG772,1,MATCH(Parametres!$B$3,V$1:AG$1,0))*IF(OR(C772="L",C772="S",C772="I"),-1,1)</f>
        <v>0</v>
      </c>
      <c r="AY772" s="487" t="s">
        <v>337</v>
      </c>
      <c r="AZ772" s="487" t="e">
        <f>+VLOOKUP($AJ772,Data_Validation!$A:$E,5,0)</f>
        <v>#N/A</v>
      </c>
    </row>
    <row r="773" spans="36:52" ht="15" customHeight="1">
      <c r="AJ773" s="899">
        <f t="shared" si="48"/>
        <v>0</v>
      </c>
      <c r="AK773" s="899">
        <f t="shared" si="48"/>
        <v>0</v>
      </c>
      <c r="AL773" s="905">
        <f>IFERROR(INDEX(G773:R773,1,MATCH(Parametres!$B$3,G$1:R$1,0)-1)*IF(OR(F773="L",F773="S",F773="I"),-1,1),"")</f>
        <v>0</v>
      </c>
      <c r="AM773" s="905">
        <f t="shared" si="49"/>
        <v>0</v>
      </c>
      <c r="AN773" s="905">
        <f>INDEX(G773:R773,1,MATCH(Parametres!$B$3,G$1:R$1,0))*IF(OR(F773="L",F773="S",F773="I"),-1,1)</f>
        <v>0</v>
      </c>
      <c r="AO773" s="487" t="e">
        <f>+VLOOKUP($AJ773,Data_Validation!$A:$D,1,0)</f>
        <v>#N/A</v>
      </c>
      <c r="AP773" s="487" t="e">
        <f>+VLOOKUP($AJ773,Data_Validation!$A:$D,3,0)</f>
        <v>#N/A</v>
      </c>
      <c r="AQ773" s="487" t="e">
        <f>+VLOOKUP($AJ773,Data_Validation!$A:$D,4,0)</f>
        <v>#N/A</v>
      </c>
      <c r="AR773" s="487" t="s">
        <v>299</v>
      </c>
      <c r="AS773" s="487" t="e">
        <f>+VLOOKUP($AJ773,Data_Validation!$A:$E,5,0)</f>
        <v>#N/A</v>
      </c>
      <c r="AT773" s="904">
        <f t="shared" si="50"/>
        <v>0</v>
      </c>
      <c r="AU773" s="488">
        <f t="shared" si="50"/>
        <v>0</v>
      </c>
      <c r="AV773" s="899">
        <f>IFERROR(INDEX(V773:AG773,1,MATCH(Parametres!$B$3,V$1:AG$1,0)-1)*IF(OR(C773="L",C773="S",C773="I"),-1,1),"")</f>
        <v>0</v>
      </c>
      <c r="AW773" s="899">
        <f t="shared" si="51"/>
        <v>0</v>
      </c>
      <c r="AX773" s="899">
        <f>INDEX(V773:AG773,1,MATCH(Parametres!$B$3,V$1:AG$1,0))*IF(OR(C773="L",C773="S",C773="I"),-1,1)</f>
        <v>0</v>
      </c>
      <c r="AY773" s="487" t="s">
        <v>337</v>
      </c>
      <c r="AZ773" s="487" t="e">
        <f>+VLOOKUP($AJ773,Data_Validation!$A:$E,5,0)</f>
        <v>#N/A</v>
      </c>
    </row>
    <row r="774" spans="36:52" ht="15" customHeight="1">
      <c r="AJ774" s="899">
        <f t="shared" si="48"/>
        <v>0</v>
      </c>
      <c r="AK774" s="899">
        <f t="shared" si="48"/>
        <v>0</v>
      </c>
      <c r="AL774" s="905">
        <f>IFERROR(INDEX(G774:R774,1,MATCH(Parametres!$B$3,G$1:R$1,0)-1)*IF(OR(F774="L",F774="S",F774="I"),-1,1),"")</f>
        <v>0</v>
      </c>
      <c r="AM774" s="905">
        <f t="shared" si="49"/>
        <v>0</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f t="shared" si="50"/>
        <v>0</v>
      </c>
      <c r="AU774" s="488">
        <f t="shared" si="50"/>
        <v>0</v>
      </c>
      <c r="AV774" s="899">
        <f>IFERROR(INDEX(V774:AG774,1,MATCH(Parametres!$B$3,V$1:AG$1,0)-1)*IF(OR(C774="L",C774="S",C774="I"),-1,1),"")</f>
        <v>0</v>
      </c>
      <c r="AW774" s="899">
        <f t="shared" si="51"/>
        <v>0</v>
      </c>
      <c r="AX774" s="899">
        <f>INDEX(V774:AG774,1,MATCH(Parametres!$B$3,V$1:AG$1,0))*IF(OR(C774="L",C774="S",C774="I"),-1,1)</f>
        <v>0</v>
      </c>
      <c r="AY774" s="487" t="s">
        <v>337</v>
      </c>
      <c r="AZ774" s="487" t="e">
        <f>+VLOOKUP($AJ774,Data_Validation!$A:$E,5,0)</f>
        <v>#N/A</v>
      </c>
    </row>
    <row r="775" spans="36:52" ht="15" customHeight="1">
      <c r="AJ775" s="899">
        <f t="shared" si="48"/>
        <v>0</v>
      </c>
      <c r="AK775" s="899">
        <f t="shared" si="48"/>
        <v>0</v>
      </c>
      <c r="AL775" s="905">
        <f>IFERROR(INDEX(G775:R775,1,MATCH(Parametres!$B$3,G$1:R$1,0)-1)*IF(OR(F775="L",F775="S",F775="I"),-1,1),"")</f>
        <v>0</v>
      </c>
      <c r="AM775" s="905">
        <f t="shared" si="49"/>
        <v>0</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f t="shared" si="50"/>
        <v>0</v>
      </c>
      <c r="AU775" s="488">
        <f t="shared" si="50"/>
        <v>0</v>
      </c>
      <c r="AV775" s="899">
        <f>IFERROR(INDEX(V775:AG775,1,MATCH(Parametres!$B$3,V$1:AG$1,0)-1)*IF(OR(C775="L",C775="S",C775="I"),-1,1),"")</f>
        <v>0</v>
      </c>
      <c r="AW775" s="899">
        <f t="shared" si="51"/>
        <v>0</v>
      </c>
      <c r="AX775" s="899">
        <f>INDEX(V775:AG775,1,MATCH(Parametres!$B$3,V$1:AG$1,0))*IF(OR(C775="L",C775="S",C775="I"),-1,1)</f>
        <v>0</v>
      </c>
      <c r="AY775" s="487" t="s">
        <v>337</v>
      </c>
      <c r="AZ775" s="487" t="e">
        <f>+VLOOKUP($AJ775,Data_Validation!$A:$E,5,0)</f>
        <v>#N/A</v>
      </c>
    </row>
    <row r="776" spans="36:52" ht="15" customHeight="1">
      <c r="AJ776" s="899">
        <f t="shared" si="48"/>
        <v>0</v>
      </c>
      <c r="AK776" s="899">
        <f t="shared" si="48"/>
        <v>0</v>
      </c>
      <c r="AL776" s="905">
        <f>IFERROR(INDEX(G776:R776,1,MATCH(Parametres!$B$3,G$1:R$1,0)-1)*IF(OR(F776="L",F776="S",F776="I"),-1,1),"")</f>
        <v>0</v>
      </c>
      <c r="AM776" s="905">
        <f t="shared" si="49"/>
        <v>0</v>
      </c>
      <c r="AN776" s="905">
        <f>INDEX(G776:R776,1,MATCH(Parametres!$B$3,G$1:R$1,0))*IF(OR(F776="L",F776="S",F776="I"),-1,1)</f>
        <v>0</v>
      </c>
      <c r="AO776" s="487" t="e">
        <f>+VLOOKUP($AJ776,Data_Validation!$A:$D,1,0)</f>
        <v>#N/A</v>
      </c>
      <c r="AP776" s="487" t="e">
        <f>+VLOOKUP($AJ776,Data_Validation!$A:$D,3,0)</f>
        <v>#N/A</v>
      </c>
      <c r="AQ776" s="487" t="e">
        <f>+VLOOKUP($AJ776,Data_Validation!$A:$D,4,0)</f>
        <v>#N/A</v>
      </c>
      <c r="AR776" s="487" t="s">
        <v>299</v>
      </c>
      <c r="AS776" s="487" t="e">
        <f>+VLOOKUP($AJ776,Data_Validation!$A:$E,5,0)</f>
        <v>#N/A</v>
      </c>
      <c r="AT776" s="904">
        <f t="shared" si="50"/>
        <v>0</v>
      </c>
      <c r="AU776" s="488">
        <f t="shared" si="50"/>
        <v>0</v>
      </c>
      <c r="AV776" s="899">
        <f>IFERROR(INDEX(V776:AG776,1,MATCH(Parametres!$B$3,V$1:AG$1,0)-1)*IF(OR(C776="L",C776="S",C776="I"),-1,1),"")</f>
        <v>0</v>
      </c>
      <c r="AW776" s="899">
        <f t="shared" si="51"/>
        <v>0</v>
      </c>
      <c r="AX776" s="899">
        <f>INDEX(V776:AG776,1,MATCH(Parametres!$B$3,V$1:AG$1,0))*IF(OR(C776="L",C776="S",C776="I"),-1,1)</f>
        <v>0</v>
      </c>
      <c r="AY776" s="487" t="s">
        <v>337</v>
      </c>
      <c r="AZ776" s="487" t="e">
        <f>+VLOOKUP($AJ776,Data_Validation!$A:$E,5,0)</f>
        <v>#N/A</v>
      </c>
    </row>
    <row r="777" spans="36:52" ht="15" customHeight="1">
      <c r="AJ777" s="899">
        <f t="shared" si="48"/>
        <v>0</v>
      </c>
      <c r="AK777" s="899">
        <f t="shared" si="48"/>
        <v>0</v>
      </c>
      <c r="AL777" s="905">
        <f>IFERROR(INDEX(G777:R777,1,MATCH(Parametres!$B$3,G$1:R$1,0)-1)*IF(OR(F777="L",F777="S",F777="I"),-1,1),"")</f>
        <v>0</v>
      </c>
      <c r="AM777" s="905">
        <f t="shared" si="49"/>
        <v>0</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f t="shared" si="50"/>
        <v>0</v>
      </c>
      <c r="AU777" s="488">
        <f t="shared" si="50"/>
        <v>0</v>
      </c>
      <c r="AV777" s="899">
        <f>IFERROR(INDEX(V777:AG777,1,MATCH(Parametres!$B$3,V$1:AG$1,0)-1)*IF(OR(C777="L",C777="S",C777="I"),-1,1),"")</f>
        <v>0</v>
      </c>
      <c r="AW777" s="899">
        <f t="shared" si="51"/>
        <v>0</v>
      </c>
      <c r="AX777" s="899">
        <f>INDEX(V777:AG777,1,MATCH(Parametres!$B$3,V$1:AG$1,0))*IF(OR(C777="L",C777="S",C777="I"),-1,1)</f>
        <v>0</v>
      </c>
      <c r="AY777" s="487" t="s">
        <v>337</v>
      </c>
      <c r="AZ777" s="487" t="e">
        <f>+VLOOKUP($AJ777,Data_Validation!$A:$E,5,0)</f>
        <v>#N/A</v>
      </c>
    </row>
    <row r="778" spans="36:52" ht="15" customHeight="1">
      <c r="AJ778" s="899">
        <f t="shared" si="48"/>
        <v>0</v>
      </c>
      <c r="AK778" s="899">
        <f t="shared" si="48"/>
        <v>0</v>
      </c>
      <c r="AL778" s="905">
        <f>IFERROR(INDEX(G778:R778,1,MATCH(Parametres!$B$3,G$1:R$1,0)-1)*IF(OR(F778="L",F778="S",F778="I"),-1,1),"")</f>
        <v>0</v>
      </c>
      <c r="AM778" s="905">
        <f t="shared" si="49"/>
        <v>0</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f t="shared" si="50"/>
        <v>0</v>
      </c>
      <c r="AU778" s="488">
        <f t="shared" si="50"/>
        <v>0</v>
      </c>
      <c r="AV778" s="899">
        <f>IFERROR(INDEX(V778:AG778,1,MATCH(Parametres!$B$3,V$1:AG$1,0)-1)*IF(OR(C778="L",C778="S",C778="I"),-1,1),"")</f>
        <v>0</v>
      </c>
      <c r="AW778" s="899">
        <f t="shared" si="51"/>
        <v>0</v>
      </c>
      <c r="AX778" s="899">
        <f>INDEX(V778:AG778,1,MATCH(Parametres!$B$3,V$1:AG$1,0))*IF(OR(C778="L",C778="S",C778="I"),-1,1)</f>
        <v>0</v>
      </c>
      <c r="AY778" s="487" t="s">
        <v>337</v>
      </c>
      <c r="AZ778" s="487" t="e">
        <f>+VLOOKUP($AJ778,Data_Validation!$A:$E,5,0)</f>
        <v>#N/A</v>
      </c>
    </row>
    <row r="779" spans="36:52" ht="15" customHeight="1">
      <c r="AJ779" s="899">
        <f t="shared" si="48"/>
        <v>0</v>
      </c>
      <c r="AK779" s="899">
        <f t="shared" si="48"/>
        <v>0</v>
      </c>
      <c r="AL779" s="905">
        <f>IFERROR(INDEX(G779:R779,1,MATCH(Parametres!$B$3,G$1:R$1,0)-1)*IF(OR(F779="L",F779="S",F779="I"),-1,1),"")</f>
        <v>0</v>
      </c>
      <c r="AM779" s="905">
        <f t="shared" si="49"/>
        <v>0</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f t="shared" si="50"/>
        <v>0</v>
      </c>
      <c r="AU779" s="488">
        <f t="shared" si="50"/>
        <v>0</v>
      </c>
      <c r="AV779" s="899">
        <f>IFERROR(INDEX(V779:AG779,1,MATCH(Parametres!$B$3,V$1:AG$1,0)-1)*IF(OR(C779="L",C779="S",C779="I"),-1,1),"")</f>
        <v>0</v>
      </c>
      <c r="AW779" s="899">
        <f t="shared" si="51"/>
        <v>0</v>
      </c>
      <c r="AX779" s="899">
        <f>INDEX(V779:AG779,1,MATCH(Parametres!$B$3,V$1:AG$1,0))*IF(OR(C779="L",C779="S",C779="I"),-1,1)</f>
        <v>0</v>
      </c>
      <c r="AY779" s="487" t="s">
        <v>337</v>
      </c>
      <c r="AZ779" s="487" t="e">
        <f>+VLOOKUP($AJ779,Data_Validation!$A:$E,5,0)</f>
        <v>#N/A</v>
      </c>
    </row>
    <row r="780" spans="36:52" ht="15" customHeight="1">
      <c r="AJ780" s="899">
        <f t="shared" si="48"/>
        <v>0</v>
      </c>
      <c r="AK780" s="899">
        <f t="shared" si="48"/>
        <v>0</v>
      </c>
      <c r="AL780" s="905">
        <f>IFERROR(INDEX(G780:R780,1,MATCH(Parametres!$B$3,G$1:R$1,0)-1)*IF(OR(F780="L",F780="S",F780="I"),-1,1),"")</f>
        <v>0</v>
      </c>
      <c r="AM780" s="905">
        <f t="shared" si="49"/>
        <v>0</v>
      </c>
      <c r="AN780" s="905">
        <f>INDEX(G780:R780,1,MATCH(Parametres!$B$3,G$1:R$1,0))*IF(OR(F780="L",F780="S",F780="I"),-1,1)</f>
        <v>0</v>
      </c>
      <c r="AO780" s="487" t="e">
        <f>+VLOOKUP($AJ780,Data_Validation!$A:$D,1,0)</f>
        <v>#N/A</v>
      </c>
      <c r="AP780" s="487" t="e">
        <f>+VLOOKUP($AJ780,Data_Validation!$A:$D,3,0)</f>
        <v>#N/A</v>
      </c>
      <c r="AQ780" s="487" t="e">
        <f>+VLOOKUP($AJ780,Data_Validation!$A:$D,4,0)</f>
        <v>#N/A</v>
      </c>
      <c r="AR780" s="487" t="s">
        <v>299</v>
      </c>
      <c r="AS780" s="487" t="e">
        <f>+VLOOKUP($AJ780,Data_Validation!$A:$E,5,0)</f>
        <v>#N/A</v>
      </c>
      <c r="AT780" s="904">
        <f t="shared" si="50"/>
        <v>0</v>
      </c>
      <c r="AU780" s="488">
        <f t="shared" si="50"/>
        <v>0</v>
      </c>
      <c r="AV780" s="899">
        <f>IFERROR(INDEX(V780:AG780,1,MATCH(Parametres!$B$3,V$1:AG$1,0)-1)*IF(OR(C780="L",C780="S",C780="I"),-1,1),"")</f>
        <v>0</v>
      </c>
      <c r="AW780" s="899">
        <f t="shared" si="51"/>
        <v>0</v>
      </c>
      <c r="AX780" s="899">
        <f>INDEX(V780:AG780,1,MATCH(Parametres!$B$3,V$1:AG$1,0))*IF(OR(C780="L",C780="S",C780="I"),-1,1)</f>
        <v>0</v>
      </c>
      <c r="AY780" s="487" t="s">
        <v>337</v>
      </c>
      <c r="AZ780" s="487" t="e">
        <f>+VLOOKUP($AJ780,Data_Validation!$A:$E,5,0)</f>
        <v>#N/A</v>
      </c>
    </row>
    <row r="781" spans="36:52" ht="15" customHeight="1">
      <c r="AJ781" s="899">
        <f t="shared" si="48"/>
        <v>0</v>
      </c>
      <c r="AK781" s="899">
        <f t="shared" si="48"/>
        <v>0</v>
      </c>
      <c r="AL781" s="905">
        <f>IFERROR(INDEX(G781:R781,1,MATCH(Parametres!$B$3,G$1:R$1,0)-1)*IF(OR(F781="L",F781="S",F781="I"),-1,1),"")</f>
        <v>0</v>
      </c>
      <c r="AM781" s="905">
        <f t="shared" si="49"/>
        <v>0</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f t="shared" si="50"/>
        <v>0</v>
      </c>
      <c r="AU781" s="488">
        <f t="shared" si="50"/>
        <v>0</v>
      </c>
      <c r="AV781" s="899">
        <f>IFERROR(INDEX(V781:AG781,1,MATCH(Parametres!$B$3,V$1:AG$1,0)-1)*IF(OR(C781="L",C781="S",C781="I"),-1,1),"")</f>
        <v>0</v>
      </c>
      <c r="AW781" s="899">
        <f t="shared" si="51"/>
        <v>0</v>
      </c>
      <c r="AX781" s="899">
        <f>INDEX(V781:AG781,1,MATCH(Parametres!$B$3,V$1:AG$1,0))*IF(OR(C781="L",C781="S",C781="I"),-1,1)</f>
        <v>0</v>
      </c>
      <c r="AY781" s="487" t="s">
        <v>337</v>
      </c>
      <c r="AZ781" s="487" t="e">
        <f>+VLOOKUP($AJ781,Data_Validation!$A:$E,5,0)</f>
        <v>#N/A</v>
      </c>
    </row>
    <row r="782" spans="36:52" ht="15" customHeight="1">
      <c r="AJ782" s="899">
        <f t="shared" si="48"/>
        <v>0</v>
      </c>
      <c r="AK782" s="899">
        <f t="shared" si="48"/>
        <v>0</v>
      </c>
      <c r="AL782" s="905">
        <f>IFERROR(INDEX(G782:R782,1,MATCH(Parametres!$B$3,G$1:R$1,0)-1)*IF(OR(F782="L",F782="S",F782="I"),-1,1),"")</f>
        <v>0</v>
      </c>
      <c r="AM782" s="905">
        <f t="shared" si="49"/>
        <v>0</v>
      </c>
      <c r="AN782" s="905">
        <f>INDEX(G782:R782,1,MATCH(Parametres!$B$3,G$1:R$1,0))*IF(OR(F782="L",F782="S",F782="I"),-1,1)</f>
        <v>0</v>
      </c>
      <c r="AO782" s="487" t="e">
        <f>+VLOOKUP($AJ782,Data_Validation!$A:$D,1,0)</f>
        <v>#N/A</v>
      </c>
      <c r="AP782" s="487" t="e">
        <f>+VLOOKUP($AJ782,Data_Validation!$A:$D,3,0)</f>
        <v>#N/A</v>
      </c>
      <c r="AQ782" s="487" t="e">
        <f>+VLOOKUP($AJ782,Data_Validation!$A:$D,4,0)</f>
        <v>#N/A</v>
      </c>
      <c r="AR782" s="487" t="s">
        <v>299</v>
      </c>
      <c r="AS782" s="487" t="e">
        <f>+VLOOKUP($AJ782,Data_Validation!$A:$E,5,0)</f>
        <v>#N/A</v>
      </c>
      <c r="AT782" s="904">
        <f t="shared" si="50"/>
        <v>0</v>
      </c>
      <c r="AU782" s="488">
        <f t="shared" si="50"/>
        <v>0</v>
      </c>
      <c r="AV782" s="899">
        <f>IFERROR(INDEX(V782:AG782,1,MATCH(Parametres!$B$3,V$1:AG$1,0)-1)*IF(OR(C782="L",C782="S",C782="I"),-1,1),"")</f>
        <v>0</v>
      </c>
      <c r="AW782" s="899">
        <f t="shared" si="51"/>
        <v>0</v>
      </c>
      <c r="AX782" s="899">
        <f>INDEX(V782:AG782,1,MATCH(Parametres!$B$3,V$1:AG$1,0))*IF(OR(C782="L",C782="S",C782="I"),-1,1)</f>
        <v>0</v>
      </c>
      <c r="AY782" s="487" t="s">
        <v>337</v>
      </c>
      <c r="AZ782" s="487" t="e">
        <f>+VLOOKUP($AJ782,Data_Validation!$A:$E,5,0)</f>
        <v>#N/A</v>
      </c>
    </row>
    <row r="783" spans="36:52" ht="15" customHeight="1">
      <c r="AJ783" s="899">
        <f t="shared" si="48"/>
        <v>0</v>
      </c>
      <c r="AK783" s="899">
        <f t="shared" si="48"/>
        <v>0</v>
      </c>
      <c r="AL783" s="905">
        <f>IFERROR(INDEX(G783:R783,1,MATCH(Parametres!$B$3,G$1:R$1,0)-1)*IF(OR(F783="L",F783="S",F783="I"),-1,1),"")</f>
        <v>0</v>
      </c>
      <c r="AM783" s="905">
        <f t="shared" si="49"/>
        <v>0</v>
      </c>
      <c r="AN783" s="905">
        <f>INDEX(G783:R783,1,MATCH(Parametres!$B$3,G$1:R$1,0))*IF(OR(F783="L",F783="S",F783="I"),-1,1)</f>
        <v>0</v>
      </c>
      <c r="AO783" s="487" t="e">
        <f>+VLOOKUP($AJ783,Data_Validation!$A:$D,1,0)</f>
        <v>#N/A</v>
      </c>
      <c r="AP783" s="487" t="e">
        <f>+VLOOKUP($AJ783,Data_Validation!$A:$D,3,0)</f>
        <v>#N/A</v>
      </c>
      <c r="AQ783" s="487" t="e">
        <f>+VLOOKUP($AJ783,Data_Validation!$A:$D,4,0)</f>
        <v>#N/A</v>
      </c>
      <c r="AR783" s="487" t="s">
        <v>299</v>
      </c>
      <c r="AS783" s="487" t="e">
        <f>+VLOOKUP($AJ783,Data_Validation!$A:$E,5,0)</f>
        <v>#N/A</v>
      </c>
      <c r="AT783" s="904">
        <f t="shared" si="50"/>
        <v>0</v>
      </c>
      <c r="AU783" s="488">
        <f t="shared" si="50"/>
        <v>0</v>
      </c>
      <c r="AV783" s="899">
        <f>IFERROR(INDEX(V783:AG783,1,MATCH(Parametres!$B$3,V$1:AG$1,0)-1)*IF(OR(C783="L",C783="S",C783="I"),-1,1),"")</f>
        <v>0</v>
      </c>
      <c r="AW783" s="899">
        <f t="shared" si="51"/>
        <v>0</v>
      </c>
      <c r="AX783" s="899">
        <f>INDEX(V783:AG783,1,MATCH(Parametres!$B$3,V$1:AG$1,0))*IF(OR(C783="L",C783="S",C783="I"),-1,1)</f>
        <v>0</v>
      </c>
      <c r="AY783" s="487" t="s">
        <v>337</v>
      </c>
      <c r="AZ783" s="487" t="e">
        <f>+VLOOKUP($AJ783,Data_Validation!$A:$E,5,0)</f>
        <v>#N/A</v>
      </c>
    </row>
    <row r="784" spans="36:52" ht="15" customHeight="1">
      <c r="AJ784" s="899">
        <f t="shared" si="48"/>
        <v>0</v>
      </c>
      <c r="AK784" s="899">
        <f t="shared" si="48"/>
        <v>0</v>
      </c>
      <c r="AL784" s="905">
        <f>IFERROR(INDEX(G784:R784,1,MATCH(Parametres!$B$3,G$1:R$1,0)-1)*IF(OR(F784="L",F784="S",F784="I"),-1,1),"")</f>
        <v>0</v>
      </c>
      <c r="AM784" s="905">
        <f t="shared" si="49"/>
        <v>0</v>
      </c>
      <c r="AN784" s="905">
        <f>INDEX(G784:R784,1,MATCH(Parametres!$B$3,G$1:R$1,0))*IF(OR(F784="L",F784="S",F784="I"),-1,1)</f>
        <v>0</v>
      </c>
      <c r="AO784" s="487" t="e">
        <f>+VLOOKUP($AJ784,Data_Validation!$A:$D,1,0)</f>
        <v>#N/A</v>
      </c>
      <c r="AP784" s="487" t="e">
        <f>+VLOOKUP($AJ784,Data_Validation!$A:$D,3,0)</f>
        <v>#N/A</v>
      </c>
      <c r="AQ784" s="487" t="e">
        <f>+VLOOKUP($AJ784,Data_Validation!$A:$D,4,0)</f>
        <v>#N/A</v>
      </c>
      <c r="AR784" s="487" t="s">
        <v>299</v>
      </c>
      <c r="AS784" s="487" t="e">
        <f>+VLOOKUP($AJ784,Data_Validation!$A:$E,5,0)</f>
        <v>#N/A</v>
      </c>
      <c r="AT784" s="904">
        <f t="shared" si="50"/>
        <v>0</v>
      </c>
      <c r="AU784" s="488">
        <f t="shared" si="50"/>
        <v>0</v>
      </c>
      <c r="AV784" s="899">
        <f>IFERROR(INDEX(V784:AG784,1,MATCH(Parametres!$B$3,V$1:AG$1,0)-1)*IF(OR(C784="L",C784="S",C784="I"),-1,1),"")</f>
        <v>0</v>
      </c>
      <c r="AW784" s="899">
        <f t="shared" si="51"/>
        <v>0</v>
      </c>
      <c r="AX784" s="899">
        <f>INDEX(V784:AG784,1,MATCH(Parametres!$B$3,V$1:AG$1,0))*IF(OR(C784="L",C784="S",C784="I"),-1,1)</f>
        <v>0</v>
      </c>
      <c r="AY784" s="487" t="s">
        <v>337</v>
      </c>
      <c r="AZ784" s="487" t="e">
        <f>+VLOOKUP($AJ784,Data_Validation!$A:$E,5,0)</f>
        <v>#N/A</v>
      </c>
    </row>
    <row r="785" spans="36:52" ht="15" customHeight="1">
      <c r="AJ785" s="899">
        <f t="shared" si="48"/>
        <v>0</v>
      </c>
      <c r="AK785" s="899">
        <f t="shared" si="48"/>
        <v>0</v>
      </c>
      <c r="AL785" s="905">
        <f>IFERROR(INDEX(G785:R785,1,MATCH(Parametres!$B$3,G$1:R$1,0)-1)*IF(OR(F785="L",F785="S",F785="I"),-1,1),"")</f>
        <v>0</v>
      </c>
      <c r="AM785" s="905">
        <f t="shared" si="49"/>
        <v>0</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f t="shared" si="50"/>
        <v>0</v>
      </c>
      <c r="AU785" s="488">
        <f t="shared" si="50"/>
        <v>0</v>
      </c>
      <c r="AV785" s="899">
        <f>IFERROR(INDEX(V785:AG785,1,MATCH(Parametres!$B$3,V$1:AG$1,0)-1)*IF(OR(C785="L",C785="S",C785="I"),-1,1),"")</f>
        <v>0</v>
      </c>
      <c r="AW785" s="899">
        <f t="shared" si="51"/>
        <v>0</v>
      </c>
      <c r="AX785" s="899">
        <f>INDEX(V785:AG785,1,MATCH(Parametres!$B$3,V$1:AG$1,0))*IF(OR(C785="L",C785="S",C785="I"),-1,1)</f>
        <v>0</v>
      </c>
      <c r="AY785" s="487" t="s">
        <v>337</v>
      </c>
      <c r="AZ785" s="487" t="e">
        <f>+VLOOKUP($AJ785,Data_Validation!$A:$E,5,0)</f>
        <v>#N/A</v>
      </c>
    </row>
    <row r="786" spans="36:52" ht="15" customHeight="1">
      <c r="AJ786" s="899">
        <f t="shared" si="48"/>
        <v>0</v>
      </c>
      <c r="AK786" s="899">
        <f t="shared" si="48"/>
        <v>0</v>
      </c>
      <c r="AL786" s="905">
        <f>IFERROR(INDEX(G786:R786,1,MATCH(Parametres!$B$3,G$1:R$1,0)-1)*IF(OR(F786="L",F786="S",F786="I"),-1,1),"")</f>
        <v>0</v>
      </c>
      <c r="AM786" s="905">
        <f t="shared" si="49"/>
        <v>0</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f t="shared" si="50"/>
        <v>0</v>
      </c>
      <c r="AU786" s="488">
        <f t="shared" si="50"/>
        <v>0</v>
      </c>
      <c r="AV786" s="899">
        <f>IFERROR(INDEX(V786:AG786,1,MATCH(Parametres!$B$3,V$1:AG$1,0)-1)*IF(OR(C786="L",C786="S",C786="I"),-1,1),"")</f>
        <v>0</v>
      </c>
      <c r="AW786" s="899">
        <f t="shared" si="51"/>
        <v>0</v>
      </c>
      <c r="AX786" s="899">
        <f>INDEX(V786:AG786,1,MATCH(Parametres!$B$3,V$1:AG$1,0))*IF(OR(C786="L",C786="S",C786="I"),-1,1)</f>
        <v>0</v>
      </c>
      <c r="AY786" s="487" t="s">
        <v>337</v>
      </c>
      <c r="AZ786" s="487" t="e">
        <f>+VLOOKUP($AJ786,Data_Validation!$A:$E,5,0)</f>
        <v>#N/A</v>
      </c>
    </row>
    <row r="787" spans="36:52" ht="15" customHeight="1">
      <c r="AJ787" s="899">
        <f t="shared" si="48"/>
        <v>0</v>
      </c>
      <c r="AK787" s="899">
        <f t="shared" si="48"/>
        <v>0</v>
      </c>
      <c r="AL787" s="905">
        <f>IFERROR(INDEX(G787:R787,1,MATCH(Parametres!$B$3,G$1:R$1,0)-1)*IF(OR(F787="L",F787="S",F787="I"),-1,1),"")</f>
        <v>0</v>
      </c>
      <c r="AM787" s="905">
        <f t="shared" si="49"/>
        <v>0</v>
      </c>
      <c r="AN787" s="905">
        <f>INDEX(G787:R787,1,MATCH(Parametres!$B$3,G$1:R$1,0))*IF(OR(F787="L",F787="S",F787="I"),-1,1)</f>
        <v>0</v>
      </c>
      <c r="AO787" s="487" t="e">
        <f>+VLOOKUP($AJ787,Data_Validation!$A:$D,1,0)</f>
        <v>#N/A</v>
      </c>
      <c r="AP787" s="487" t="e">
        <f>+VLOOKUP($AJ787,Data_Validation!$A:$D,3,0)</f>
        <v>#N/A</v>
      </c>
      <c r="AQ787" s="487" t="e">
        <f>+VLOOKUP($AJ787,Data_Validation!$A:$D,4,0)</f>
        <v>#N/A</v>
      </c>
      <c r="AR787" s="487" t="s">
        <v>299</v>
      </c>
      <c r="AS787" s="487" t="e">
        <f>+VLOOKUP($AJ787,Data_Validation!$A:$E,5,0)</f>
        <v>#N/A</v>
      </c>
      <c r="AT787" s="904">
        <f t="shared" si="50"/>
        <v>0</v>
      </c>
      <c r="AU787" s="488">
        <f t="shared" si="50"/>
        <v>0</v>
      </c>
      <c r="AV787" s="899">
        <f>IFERROR(INDEX(V787:AG787,1,MATCH(Parametres!$B$3,V$1:AG$1,0)-1)*IF(OR(C787="L",C787="S",C787="I"),-1,1),"")</f>
        <v>0</v>
      </c>
      <c r="AW787" s="899">
        <f t="shared" si="51"/>
        <v>0</v>
      </c>
      <c r="AX787" s="899">
        <f>INDEX(V787:AG787,1,MATCH(Parametres!$B$3,V$1:AG$1,0))*IF(OR(C787="L",C787="S",C787="I"),-1,1)</f>
        <v>0</v>
      </c>
      <c r="AY787" s="487" t="s">
        <v>337</v>
      </c>
      <c r="AZ787" s="487" t="e">
        <f>+VLOOKUP($AJ787,Data_Validation!$A:$E,5,0)</f>
        <v>#N/A</v>
      </c>
    </row>
    <row r="788" spans="36:52" ht="15" customHeight="1">
      <c r="AJ788" s="899">
        <f t="shared" ref="AJ788:AK792" si="52">C788</f>
        <v>0</v>
      </c>
      <c r="AK788" s="899">
        <f t="shared" si="52"/>
        <v>0</v>
      </c>
      <c r="AL788" s="905">
        <f>IFERROR(INDEX(G788:R788,1,MATCH(Parametres!$B$3,G$1:R$1,0)-1)*IF(OR(F788="L",F788="S",F788="I"),-1,1),"")</f>
        <v>0</v>
      </c>
      <c r="AM788" s="905">
        <f t="shared" si="49"/>
        <v>0</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f t="shared" si="50"/>
        <v>0</v>
      </c>
      <c r="AU788" s="488">
        <f t="shared" si="50"/>
        <v>0</v>
      </c>
      <c r="AV788" s="899">
        <f>IFERROR(INDEX(V788:AG788,1,MATCH(Parametres!$B$3,V$1:AG$1,0)-1)*IF(OR(C788="L",C788="S",C788="I"),-1,1),"")</f>
        <v>0</v>
      </c>
      <c r="AW788" s="899">
        <f t="shared" si="51"/>
        <v>0</v>
      </c>
      <c r="AX788" s="899">
        <f>INDEX(V788:AG788,1,MATCH(Parametres!$B$3,V$1:AG$1,0))*IF(OR(C788="L",C788="S",C788="I"),-1,1)</f>
        <v>0</v>
      </c>
      <c r="AY788" s="487" t="s">
        <v>337</v>
      </c>
      <c r="AZ788" s="487" t="e">
        <f>+VLOOKUP($AJ788,Data_Validation!$A:$E,5,0)</f>
        <v>#N/A</v>
      </c>
    </row>
    <row r="789" spans="36:52" ht="15" customHeight="1">
      <c r="AJ789" s="899">
        <f t="shared" si="52"/>
        <v>0</v>
      </c>
      <c r="AK789" s="899">
        <f t="shared" si="52"/>
        <v>0</v>
      </c>
      <c r="AL789" s="905">
        <f>IFERROR(INDEX(G789:R789,1,MATCH(Parametres!$B$3,G$1:R$1,0)-1)*IF(OR(F789="L",F789="S",F789="I"),-1,1),"")</f>
        <v>0</v>
      </c>
      <c r="AM789" s="905">
        <f t="shared" si="49"/>
        <v>0</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f t="shared" si="50"/>
        <v>0</v>
      </c>
      <c r="AU789" s="488">
        <f t="shared" si="50"/>
        <v>0</v>
      </c>
      <c r="AV789" s="899">
        <f>IFERROR(INDEX(V789:AG789,1,MATCH(Parametres!$B$3,V$1:AG$1,0)-1)*IF(OR(C789="L",C789="S",C789="I"),-1,1),"")</f>
        <v>0</v>
      </c>
      <c r="AW789" s="899">
        <f t="shared" si="51"/>
        <v>0</v>
      </c>
      <c r="AX789" s="899">
        <f>INDEX(V789:AG789,1,MATCH(Parametres!$B$3,V$1:AG$1,0))*IF(OR(C789="L",C789="S",C789="I"),-1,1)</f>
        <v>0</v>
      </c>
      <c r="AY789" s="487" t="s">
        <v>337</v>
      </c>
      <c r="AZ789" s="487" t="e">
        <f>+VLOOKUP($AJ789,Data_Validation!$A:$E,5,0)</f>
        <v>#N/A</v>
      </c>
    </row>
    <row r="790" spans="36:52" ht="15" customHeight="1">
      <c r="AJ790" s="899">
        <f t="shared" si="52"/>
        <v>0</v>
      </c>
      <c r="AK790" s="899">
        <f t="shared" si="52"/>
        <v>0</v>
      </c>
      <c r="AL790" s="905">
        <f>IFERROR(INDEX(G790:R790,1,MATCH(Parametres!$B$3,G$1:R$1,0)-1)*IF(OR(F790="L",F790="S",F790="I"),-1,1),"")</f>
        <v>0</v>
      </c>
      <c r="AM790" s="905">
        <f t="shared" si="49"/>
        <v>0</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f t="shared" si="50"/>
        <v>0</v>
      </c>
      <c r="AU790" s="488">
        <f t="shared" si="50"/>
        <v>0</v>
      </c>
      <c r="AV790" s="899">
        <f>IFERROR(INDEX(V790:AG790,1,MATCH(Parametres!$B$3,V$1:AG$1,0)-1)*IF(OR(C790="L",C790="S",C790="I"),-1,1),"")</f>
        <v>0</v>
      </c>
      <c r="AW790" s="899">
        <f t="shared" si="51"/>
        <v>0</v>
      </c>
      <c r="AX790" s="899">
        <f>INDEX(V790:AG790,1,MATCH(Parametres!$B$3,V$1:AG$1,0))*IF(OR(C790="L",C790="S",C790="I"),-1,1)</f>
        <v>0</v>
      </c>
      <c r="AY790" s="487" t="s">
        <v>337</v>
      </c>
      <c r="AZ790" s="487" t="e">
        <f>+VLOOKUP($AJ790,Data_Validation!$A:$E,5,0)</f>
        <v>#N/A</v>
      </c>
    </row>
    <row r="791" spans="36:52" ht="15" customHeight="1">
      <c r="AJ791" s="899">
        <f t="shared" si="52"/>
        <v>0</v>
      </c>
      <c r="AK791" s="899">
        <f t="shared" si="52"/>
        <v>0</v>
      </c>
      <c r="AL791" s="905">
        <f>IFERROR(INDEX(G791:R791,1,MATCH(Parametres!$B$3,G$1:R$1,0)-1)*IF(OR(F791="L",F791="S",F791="I"),-1,1),"")</f>
        <v>0</v>
      </c>
      <c r="AM791" s="905">
        <f t="shared" si="49"/>
        <v>0</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f t="shared" si="50"/>
        <v>0</v>
      </c>
      <c r="AU791" s="488">
        <f t="shared" si="50"/>
        <v>0</v>
      </c>
      <c r="AV791" s="899">
        <f>IFERROR(INDEX(V791:AG791,1,MATCH(Parametres!$B$3,V$1:AG$1,0)-1)*IF(OR(C791="L",C791="S",C791="I"),-1,1),"")</f>
        <v>0</v>
      </c>
      <c r="AW791" s="899">
        <f t="shared" si="51"/>
        <v>0</v>
      </c>
      <c r="AX791" s="899">
        <f>INDEX(V791:AG791,1,MATCH(Parametres!$B$3,V$1:AG$1,0))*IF(OR(C791="L",C791="S",C791="I"),-1,1)</f>
        <v>0</v>
      </c>
      <c r="AY791" s="487" t="s">
        <v>337</v>
      </c>
      <c r="AZ791" s="487" t="e">
        <f>+VLOOKUP($AJ791,Data_Validation!$A:$E,5,0)</f>
        <v>#N/A</v>
      </c>
    </row>
    <row r="792" spans="36:52" ht="15" customHeight="1">
      <c r="AJ792" s="899">
        <f t="shared" si="52"/>
        <v>0</v>
      </c>
      <c r="AK792" s="899">
        <f t="shared" si="52"/>
        <v>0</v>
      </c>
      <c r="AL792" s="905">
        <f>IFERROR(INDEX(G792:R792,1,MATCH(Parametres!$B$3,G$1:R$1,0)-1)*IF(OR(F792="L",F792="S",F792="I"),-1,1),"")</f>
        <v>0</v>
      </c>
      <c r="AM792" s="905">
        <f t="shared" si="49"/>
        <v>0</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f t="shared" si="50"/>
        <v>0</v>
      </c>
      <c r="AU792" s="488">
        <f t="shared" si="50"/>
        <v>0</v>
      </c>
      <c r="AV792" s="899">
        <f>IFERROR(INDEX(V792:AG792,1,MATCH(Parametres!$B$3,V$1:AG$1,0)-1)*IF(OR(C792="L",C792="S",C792="I"),-1,1),"")</f>
        <v>0</v>
      </c>
      <c r="AW792" s="899">
        <f t="shared" si="51"/>
        <v>0</v>
      </c>
      <c r="AX792" s="899">
        <f>INDEX(V792:AG792,1,MATCH(Parametres!$B$3,V$1:AG$1,0))*IF(OR(C792="L",C792="S",C792="I"),-1,1)</f>
        <v>0</v>
      </c>
      <c r="AY792" s="487" t="s">
        <v>337</v>
      </c>
      <c r="AZ792" s="487" t="e">
        <f>+VLOOKUP($AJ792,Data_Validation!$A:$E,5,0)</f>
        <v>#N/A</v>
      </c>
    </row>
    <row r="793" spans="36:52" ht="15" customHeight="1">
      <c r="AJ793" s="899">
        <f t="shared" ref="AJ793:AJ856" si="53">C793</f>
        <v>0</v>
      </c>
      <c r="AK793" s="899">
        <f t="shared" ref="AK793:AK856" si="54">D793</f>
        <v>0</v>
      </c>
      <c r="AL793" s="905">
        <f>IFERROR(INDEX(G793:R793,1,MATCH(Parametres!$B$3,G$1:R$1,0)-1)*IF(OR(F793="L",F793="S",F793="I"),-1,1),"")</f>
        <v>0</v>
      </c>
      <c r="AM793" s="905">
        <f t="shared" ref="AM793:AM856" si="55">AN793-AL793</f>
        <v>0</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f t="shared" ref="AT793:AT856" si="56">C793</f>
        <v>0</v>
      </c>
      <c r="AU793" s="488">
        <f t="shared" ref="AU793:AU856" si="57">D793</f>
        <v>0</v>
      </c>
      <c r="AV793" s="899">
        <f>IFERROR(INDEX(V793:AG793,1,MATCH(Parametres!$B$3,V$1:AG$1,0)-1)*IF(OR(C793="L",C793="S",C793="I"),-1,1),"")</f>
        <v>0</v>
      </c>
      <c r="AW793" s="899">
        <f t="shared" ref="AW793:AW856" si="58">AX793-AV793</f>
        <v>0</v>
      </c>
      <c r="AX793" s="899">
        <f>INDEX(V793:AG793,1,MATCH(Parametres!$B$3,V$1:AG$1,0))*IF(OR(C793="L",C793="S",C793="I"),-1,1)</f>
        <v>0</v>
      </c>
      <c r="AY793" s="487" t="s">
        <v>337</v>
      </c>
      <c r="AZ793" s="487" t="e">
        <f>+VLOOKUP($AJ793,Data_Validation!$A:$E,5,0)</f>
        <v>#N/A</v>
      </c>
    </row>
    <row r="794" spans="36:52" ht="15" customHeight="1">
      <c r="AJ794" s="899">
        <f t="shared" si="53"/>
        <v>0</v>
      </c>
      <c r="AK794" s="899">
        <f t="shared" si="54"/>
        <v>0</v>
      </c>
      <c r="AL794" s="905">
        <f>IFERROR(INDEX(G794:R794,1,MATCH(Parametres!$B$3,G$1:R$1,0)-1)*IF(OR(F794="L",F794="S",F794="I"),-1,1),"")</f>
        <v>0</v>
      </c>
      <c r="AM794" s="905">
        <f t="shared" si="55"/>
        <v>0</v>
      </c>
      <c r="AN794" s="905">
        <f>INDEX(G794:R794,1,MATCH(Parametres!$B$3,G$1:R$1,0))*IF(OR(F794="L",F794="S",F794="I"),-1,1)</f>
        <v>0</v>
      </c>
      <c r="AO794" s="487" t="e">
        <f>+VLOOKUP($AJ794,Data_Validation!$A:$D,1,0)</f>
        <v>#N/A</v>
      </c>
      <c r="AP794" s="487" t="e">
        <f>+VLOOKUP($AJ794,Data_Validation!$A:$D,3,0)</f>
        <v>#N/A</v>
      </c>
      <c r="AQ794" s="487" t="e">
        <f>+VLOOKUP($AJ794,Data_Validation!$A:$D,4,0)</f>
        <v>#N/A</v>
      </c>
      <c r="AR794" s="487" t="s">
        <v>299</v>
      </c>
      <c r="AS794" s="487" t="e">
        <f>+VLOOKUP($AJ794,Data_Validation!$A:$E,5,0)</f>
        <v>#N/A</v>
      </c>
      <c r="AT794" s="904">
        <f t="shared" si="56"/>
        <v>0</v>
      </c>
      <c r="AU794" s="488">
        <f t="shared" si="57"/>
        <v>0</v>
      </c>
      <c r="AV794" s="899">
        <f>IFERROR(INDEX(V794:AG794,1,MATCH(Parametres!$B$3,V$1:AG$1,0)-1)*IF(OR(C794="L",C794="S",C794="I"),-1,1),"")</f>
        <v>0</v>
      </c>
      <c r="AW794" s="899">
        <f t="shared" si="58"/>
        <v>0</v>
      </c>
      <c r="AX794" s="899">
        <f>INDEX(V794:AG794,1,MATCH(Parametres!$B$3,V$1:AG$1,0))*IF(OR(C794="L",C794="S",C794="I"),-1,1)</f>
        <v>0</v>
      </c>
      <c r="AY794" s="487" t="s">
        <v>337</v>
      </c>
      <c r="AZ794" s="487" t="e">
        <f>+VLOOKUP($AJ794,Data_Validation!$A:$E,5,0)</f>
        <v>#N/A</v>
      </c>
    </row>
    <row r="795" spans="36:52" ht="15" customHeight="1">
      <c r="AJ795" s="899">
        <f t="shared" si="53"/>
        <v>0</v>
      </c>
      <c r="AK795" s="899">
        <f t="shared" si="54"/>
        <v>0</v>
      </c>
      <c r="AL795" s="905">
        <f>IFERROR(INDEX(G795:R795,1,MATCH(Parametres!$B$3,G$1:R$1,0)-1)*IF(OR(F795="L",F795="S",F795="I"),-1,1),"")</f>
        <v>0</v>
      </c>
      <c r="AM795" s="905">
        <f t="shared" si="55"/>
        <v>0</v>
      </c>
      <c r="AN795" s="905">
        <f>INDEX(G795:R795,1,MATCH(Parametres!$B$3,G$1:R$1,0))*IF(OR(F795="L",F795="S",F795="I"),-1,1)</f>
        <v>0</v>
      </c>
      <c r="AO795" s="487" t="e">
        <f>+VLOOKUP($AJ795,Data_Validation!$A:$D,1,0)</f>
        <v>#N/A</v>
      </c>
      <c r="AP795" s="487" t="e">
        <f>+VLOOKUP($AJ795,Data_Validation!$A:$D,3,0)</f>
        <v>#N/A</v>
      </c>
      <c r="AQ795" s="487" t="e">
        <f>+VLOOKUP($AJ795,Data_Validation!$A:$D,4,0)</f>
        <v>#N/A</v>
      </c>
      <c r="AR795" s="487" t="s">
        <v>299</v>
      </c>
      <c r="AS795" s="487" t="e">
        <f>+VLOOKUP($AJ795,Data_Validation!$A:$E,5,0)</f>
        <v>#N/A</v>
      </c>
      <c r="AT795" s="904">
        <f t="shared" si="56"/>
        <v>0</v>
      </c>
      <c r="AU795" s="488">
        <f t="shared" si="57"/>
        <v>0</v>
      </c>
      <c r="AV795" s="899">
        <f>IFERROR(INDEX(V795:AG795,1,MATCH(Parametres!$B$3,V$1:AG$1,0)-1)*IF(OR(C795="L",C795="S",C795="I"),-1,1),"")</f>
        <v>0</v>
      </c>
      <c r="AW795" s="899">
        <f t="shared" si="58"/>
        <v>0</v>
      </c>
      <c r="AX795" s="899">
        <f>INDEX(V795:AG795,1,MATCH(Parametres!$B$3,V$1:AG$1,0))*IF(OR(C795="L",C795="S",C795="I"),-1,1)</f>
        <v>0</v>
      </c>
      <c r="AY795" s="487" t="s">
        <v>337</v>
      </c>
      <c r="AZ795" s="487" t="e">
        <f>+VLOOKUP($AJ795,Data_Validation!$A:$E,5,0)</f>
        <v>#N/A</v>
      </c>
    </row>
    <row r="796" spans="36:52" ht="15" customHeight="1">
      <c r="AJ796" s="899">
        <f t="shared" si="53"/>
        <v>0</v>
      </c>
      <c r="AK796" s="899">
        <f t="shared" si="54"/>
        <v>0</v>
      </c>
      <c r="AL796" s="905">
        <f>IFERROR(INDEX(G796:R796,1,MATCH(Parametres!$B$3,G$1:R$1,0)-1)*IF(OR(F796="L",F796="S",F796="I"),-1,1),"")</f>
        <v>0</v>
      </c>
      <c r="AM796" s="905">
        <f t="shared" si="55"/>
        <v>0</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f t="shared" si="56"/>
        <v>0</v>
      </c>
      <c r="AU796" s="488">
        <f t="shared" si="57"/>
        <v>0</v>
      </c>
      <c r="AV796" s="899">
        <f>IFERROR(INDEX(V796:AG796,1,MATCH(Parametres!$B$3,V$1:AG$1,0)-1)*IF(OR(C796="L",C796="S",C796="I"),-1,1),"")</f>
        <v>0</v>
      </c>
      <c r="AW796" s="899">
        <f t="shared" si="58"/>
        <v>0</v>
      </c>
      <c r="AX796" s="899">
        <f>INDEX(V796:AG796,1,MATCH(Parametres!$B$3,V$1:AG$1,0))*IF(OR(C796="L",C796="S",C796="I"),-1,1)</f>
        <v>0</v>
      </c>
      <c r="AY796" s="487" t="s">
        <v>337</v>
      </c>
      <c r="AZ796" s="487" t="e">
        <f>+VLOOKUP($AJ796,Data_Validation!$A:$E,5,0)</f>
        <v>#N/A</v>
      </c>
    </row>
    <row r="797" spans="36:52" ht="15" customHeight="1">
      <c r="AJ797" s="899">
        <f t="shared" si="53"/>
        <v>0</v>
      </c>
      <c r="AK797" s="899">
        <f t="shared" si="54"/>
        <v>0</v>
      </c>
      <c r="AL797" s="905">
        <f>IFERROR(INDEX(G797:R797,1,MATCH(Parametres!$B$3,G$1:R$1,0)-1)*IF(OR(F797="L",F797="S",F797="I"),-1,1),"")</f>
        <v>0</v>
      </c>
      <c r="AM797" s="905">
        <f t="shared" si="55"/>
        <v>0</v>
      </c>
      <c r="AN797" s="905">
        <f>INDEX(G797:R797,1,MATCH(Parametres!$B$3,G$1:R$1,0))*IF(OR(F797="L",F797="S",F797="I"),-1,1)</f>
        <v>0</v>
      </c>
      <c r="AO797" s="487" t="e">
        <f>+VLOOKUP($AJ797,Data_Validation!$A:$D,1,0)</f>
        <v>#N/A</v>
      </c>
      <c r="AP797" s="487" t="e">
        <f>+VLOOKUP($AJ797,Data_Validation!$A:$D,3,0)</f>
        <v>#N/A</v>
      </c>
      <c r="AQ797" s="487" t="e">
        <f>+VLOOKUP($AJ797,Data_Validation!$A:$D,4,0)</f>
        <v>#N/A</v>
      </c>
      <c r="AR797" s="487" t="s">
        <v>299</v>
      </c>
      <c r="AS797" s="487" t="e">
        <f>+VLOOKUP($AJ797,Data_Validation!$A:$E,5,0)</f>
        <v>#N/A</v>
      </c>
      <c r="AT797" s="904">
        <f t="shared" si="56"/>
        <v>0</v>
      </c>
      <c r="AU797" s="488">
        <f t="shared" si="57"/>
        <v>0</v>
      </c>
      <c r="AV797" s="899">
        <f>IFERROR(INDEX(V797:AG797,1,MATCH(Parametres!$B$3,V$1:AG$1,0)-1)*IF(OR(C797="L",C797="S",C797="I"),-1,1),"")</f>
        <v>0</v>
      </c>
      <c r="AW797" s="899">
        <f t="shared" si="58"/>
        <v>0</v>
      </c>
      <c r="AX797" s="899">
        <f>INDEX(V797:AG797,1,MATCH(Parametres!$B$3,V$1:AG$1,0))*IF(OR(C797="L",C797="S",C797="I"),-1,1)</f>
        <v>0</v>
      </c>
      <c r="AY797" s="487" t="s">
        <v>337</v>
      </c>
      <c r="AZ797" s="487" t="e">
        <f>+VLOOKUP($AJ797,Data_Validation!$A:$E,5,0)</f>
        <v>#N/A</v>
      </c>
    </row>
    <row r="798" spans="36:52" ht="15" customHeight="1">
      <c r="AJ798" s="899">
        <f t="shared" si="53"/>
        <v>0</v>
      </c>
      <c r="AK798" s="899">
        <f t="shared" si="54"/>
        <v>0</v>
      </c>
      <c r="AL798" s="905">
        <f>IFERROR(INDEX(G798:R798,1,MATCH(Parametres!$B$3,G$1:R$1,0)-1)*IF(OR(F798="L",F798="S",F798="I"),-1,1),"")</f>
        <v>0</v>
      </c>
      <c r="AM798" s="905">
        <f t="shared" si="55"/>
        <v>0</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f t="shared" si="56"/>
        <v>0</v>
      </c>
      <c r="AU798" s="488">
        <f t="shared" si="57"/>
        <v>0</v>
      </c>
      <c r="AV798" s="899">
        <f>IFERROR(INDEX(V798:AG798,1,MATCH(Parametres!$B$3,V$1:AG$1,0)-1)*IF(OR(C798="L",C798="S",C798="I"),-1,1),"")</f>
        <v>0</v>
      </c>
      <c r="AW798" s="899">
        <f t="shared" si="58"/>
        <v>0</v>
      </c>
      <c r="AX798" s="899">
        <f>INDEX(V798:AG798,1,MATCH(Parametres!$B$3,V$1:AG$1,0))*IF(OR(C798="L",C798="S",C798="I"),-1,1)</f>
        <v>0</v>
      </c>
      <c r="AY798" s="487" t="s">
        <v>337</v>
      </c>
      <c r="AZ798" s="487" t="e">
        <f>+VLOOKUP($AJ798,Data_Validation!$A:$E,5,0)</f>
        <v>#N/A</v>
      </c>
    </row>
    <row r="799" spans="36:52" ht="15" customHeight="1">
      <c r="AJ799" s="899">
        <f t="shared" si="53"/>
        <v>0</v>
      </c>
      <c r="AK799" s="899">
        <f t="shared" si="54"/>
        <v>0</v>
      </c>
      <c r="AL799" s="905">
        <f>IFERROR(INDEX(G799:R799,1,MATCH(Parametres!$B$3,G$1:R$1,0)-1)*IF(OR(F799="L",F799="S",F799="I"),-1,1),"")</f>
        <v>0</v>
      </c>
      <c r="AM799" s="905">
        <f t="shared" si="55"/>
        <v>0</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f t="shared" si="56"/>
        <v>0</v>
      </c>
      <c r="AU799" s="488">
        <f t="shared" si="57"/>
        <v>0</v>
      </c>
      <c r="AV799" s="899">
        <f>IFERROR(INDEX(V799:AG799,1,MATCH(Parametres!$B$3,V$1:AG$1,0)-1)*IF(OR(C799="L",C799="S",C799="I"),-1,1),"")</f>
        <v>0</v>
      </c>
      <c r="AW799" s="899">
        <f t="shared" si="58"/>
        <v>0</v>
      </c>
      <c r="AX799" s="899">
        <f>INDEX(V799:AG799,1,MATCH(Parametres!$B$3,V$1:AG$1,0))*IF(OR(C799="L",C799="S",C799="I"),-1,1)</f>
        <v>0</v>
      </c>
      <c r="AY799" s="487" t="s">
        <v>337</v>
      </c>
      <c r="AZ799" s="487" t="e">
        <f>+VLOOKUP($AJ799,Data_Validation!$A:$E,5,0)</f>
        <v>#N/A</v>
      </c>
    </row>
    <row r="800" spans="36:52" ht="15" customHeight="1">
      <c r="AJ800" s="899">
        <f t="shared" si="53"/>
        <v>0</v>
      </c>
      <c r="AK800" s="899">
        <f t="shared" si="54"/>
        <v>0</v>
      </c>
      <c r="AL800" s="905">
        <f>IFERROR(INDEX(G800:R800,1,MATCH(Parametres!$B$3,G$1:R$1,0)-1)*IF(OR(F800="L",F800="S",F800="I"),-1,1),"")</f>
        <v>0</v>
      </c>
      <c r="AM800" s="905">
        <f t="shared" si="55"/>
        <v>0</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f t="shared" si="56"/>
        <v>0</v>
      </c>
      <c r="AU800" s="488">
        <f t="shared" si="57"/>
        <v>0</v>
      </c>
      <c r="AV800" s="899">
        <f>IFERROR(INDEX(V800:AG800,1,MATCH(Parametres!$B$3,V$1:AG$1,0)-1)*IF(OR(C800="L",C800="S",C800="I"),-1,1),"")</f>
        <v>0</v>
      </c>
      <c r="AW800" s="899">
        <f t="shared" si="58"/>
        <v>0</v>
      </c>
      <c r="AX800" s="899">
        <f>INDEX(V800:AG800,1,MATCH(Parametres!$B$3,V$1:AG$1,0))*IF(OR(C800="L",C800="S",C800="I"),-1,1)</f>
        <v>0</v>
      </c>
      <c r="AY800" s="487" t="s">
        <v>337</v>
      </c>
      <c r="AZ800" s="487" t="e">
        <f>+VLOOKUP($AJ800,Data_Validation!$A:$E,5,0)</f>
        <v>#N/A</v>
      </c>
    </row>
    <row r="801" spans="36:52" ht="15" customHeight="1">
      <c r="AJ801" s="899">
        <f t="shared" si="53"/>
        <v>0</v>
      </c>
      <c r="AK801" s="899">
        <f t="shared" si="54"/>
        <v>0</v>
      </c>
      <c r="AL801" s="905">
        <f>IFERROR(INDEX(G801:R801,1,MATCH(Parametres!$B$3,G$1:R$1,0)-1)*IF(OR(F801="L",F801="S",F801="I"),-1,1),"")</f>
        <v>0</v>
      </c>
      <c r="AM801" s="905">
        <f t="shared" si="55"/>
        <v>0</v>
      </c>
      <c r="AN801" s="905">
        <f>INDEX(G801:R801,1,MATCH(Parametres!$B$3,G$1:R$1,0))*IF(OR(F801="L",F801="S",F801="I"),-1,1)</f>
        <v>0</v>
      </c>
      <c r="AO801" s="487" t="e">
        <f>+VLOOKUP($AJ801,Data_Validation!$A:$D,1,0)</f>
        <v>#N/A</v>
      </c>
      <c r="AP801" s="487" t="e">
        <f>+VLOOKUP($AJ801,Data_Validation!$A:$D,3,0)</f>
        <v>#N/A</v>
      </c>
      <c r="AQ801" s="487" t="e">
        <f>+VLOOKUP($AJ801,Data_Validation!$A:$D,4,0)</f>
        <v>#N/A</v>
      </c>
      <c r="AR801" s="487" t="s">
        <v>299</v>
      </c>
      <c r="AS801" s="487" t="e">
        <f>+VLOOKUP($AJ801,Data_Validation!$A:$E,5,0)</f>
        <v>#N/A</v>
      </c>
      <c r="AT801" s="904">
        <f t="shared" si="56"/>
        <v>0</v>
      </c>
      <c r="AU801" s="488">
        <f t="shared" si="57"/>
        <v>0</v>
      </c>
      <c r="AV801" s="899">
        <f>IFERROR(INDEX(V801:AG801,1,MATCH(Parametres!$B$3,V$1:AG$1,0)-1)*IF(OR(C801="L",C801="S",C801="I"),-1,1),"")</f>
        <v>0</v>
      </c>
      <c r="AW801" s="899">
        <f t="shared" si="58"/>
        <v>0</v>
      </c>
      <c r="AX801" s="899">
        <f>INDEX(V801:AG801,1,MATCH(Parametres!$B$3,V$1:AG$1,0))*IF(OR(C801="L",C801="S",C801="I"),-1,1)</f>
        <v>0</v>
      </c>
      <c r="AY801" s="487" t="s">
        <v>337</v>
      </c>
      <c r="AZ801" s="487" t="e">
        <f>+VLOOKUP($AJ801,Data_Validation!$A:$E,5,0)</f>
        <v>#N/A</v>
      </c>
    </row>
    <row r="802" spans="36:52" ht="15" customHeight="1">
      <c r="AJ802" s="899">
        <f t="shared" si="53"/>
        <v>0</v>
      </c>
      <c r="AK802" s="899">
        <f t="shared" si="54"/>
        <v>0</v>
      </c>
      <c r="AL802" s="905">
        <f>IFERROR(INDEX(G802:R802,1,MATCH(Parametres!$B$3,G$1:R$1,0)-1)*IF(OR(F802="L",F802="S",F802="I"),-1,1),"")</f>
        <v>0</v>
      </c>
      <c r="AM802" s="905">
        <f t="shared" si="55"/>
        <v>0</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f t="shared" si="56"/>
        <v>0</v>
      </c>
      <c r="AU802" s="488">
        <f t="shared" si="57"/>
        <v>0</v>
      </c>
      <c r="AV802" s="899">
        <f>IFERROR(INDEX(V802:AG802,1,MATCH(Parametres!$B$3,V$1:AG$1,0)-1)*IF(OR(C802="L",C802="S",C802="I"),-1,1),"")</f>
        <v>0</v>
      </c>
      <c r="AW802" s="899">
        <f t="shared" si="58"/>
        <v>0</v>
      </c>
      <c r="AX802" s="899">
        <f>INDEX(V802:AG802,1,MATCH(Parametres!$B$3,V$1:AG$1,0))*IF(OR(C802="L",C802="S",C802="I"),-1,1)</f>
        <v>0</v>
      </c>
      <c r="AY802" s="487" t="s">
        <v>337</v>
      </c>
      <c r="AZ802" s="487" t="e">
        <f>+VLOOKUP($AJ802,Data_Validation!$A:$E,5,0)</f>
        <v>#N/A</v>
      </c>
    </row>
    <row r="803" spans="36:52" ht="15" customHeight="1">
      <c r="AJ803" s="899">
        <f t="shared" si="53"/>
        <v>0</v>
      </c>
      <c r="AK803" s="899">
        <f t="shared" si="54"/>
        <v>0</v>
      </c>
      <c r="AL803" s="905">
        <f>IFERROR(INDEX(G803:R803,1,MATCH(Parametres!$B$3,G$1:R$1,0)-1)*IF(OR(F803="L",F803="S",F803="I"),-1,1),"")</f>
        <v>0</v>
      </c>
      <c r="AM803" s="905">
        <f t="shared" si="55"/>
        <v>0</v>
      </c>
      <c r="AN803" s="905">
        <f>INDEX(G803:R803,1,MATCH(Parametres!$B$3,G$1:R$1,0))*IF(OR(F803="L",F803="S",F803="I"),-1,1)</f>
        <v>0</v>
      </c>
      <c r="AO803" s="487" t="e">
        <f>+VLOOKUP($AJ803,Data_Validation!$A:$D,1,0)</f>
        <v>#N/A</v>
      </c>
      <c r="AP803" s="487" t="e">
        <f>+VLOOKUP($AJ803,Data_Validation!$A:$D,3,0)</f>
        <v>#N/A</v>
      </c>
      <c r="AQ803" s="487" t="e">
        <f>+VLOOKUP($AJ803,Data_Validation!$A:$D,4,0)</f>
        <v>#N/A</v>
      </c>
      <c r="AR803" s="487" t="s">
        <v>299</v>
      </c>
      <c r="AS803" s="487" t="e">
        <f>+VLOOKUP($AJ803,Data_Validation!$A:$E,5,0)</f>
        <v>#N/A</v>
      </c>
      <c r="AT803" s="904">
        <f t="shared" si="56"/>
        <v>0</v>
      </c>
      <c r="AU803" s="488">
        <f t="shared" si="57"/>
        <v>0</v>
      </c>
      <c r="AV803" s="899">
        <f>IFERROR(INDEX(V803:AG803,1,MATCH(Parametres!$B$3,V$1:AG$1,0)-1)*IF(OR(C803="L",C803="S",C803="I"),-1,1),"")</f>
        <v>0</v>
      </c>
      <c r="AW803" s="899">
        <f t="shared" si="58"/>
        <v>0</v>
      </c>
      <c r="AX803" s="899">
        <f>INDEX(V803:AG803,1,MATCH(Parametres!$B$3,V$1:AG$1,0))*IF(OR(C803="L",C803="S",C803="I"),-1,1)</f>
        <v>0</v>
      </c>
      <c r="AY803" s="487" t="s">
        <v>337</v>
      </c>
      <c r="AZ803" s="487" t="e">
        <f>+VLOOKUP($AJ803,Data_Validation!$A:$E,5,0)</f>
        <v>#N/A</v>
      </c>
    </row>
    <row r="804" spans="36:52" ht="15" customHeight="1">
      <c r="AJ804" s="899">
        <f t="shared" si="53"/>
        <v>0</v>
      </c>
      <c r="AK804" s="899">
        <f t="shared" si="54"/>
        <v>0</v>
      </c>
      <c r="AL804" s="905">
        <f>IFERROR(INDEX(G804:R804,1,MATCH(Parametres!$B$3,G$1:R$1,0)-1)*IF(OR(F804="L",F804="S",F804="I"),-1,1),"")</f>
        <v>0</v>
      </c>
      <c r="AM804" s="905">
        <f t="shared" si="55"/>
        <v>0</v>
      </c>
      <c r="AN804" s="905">
        <f>INDEX(G804:R804,1,MATCH(Parametres!$B$3,G$1:R$1,0))*IF(OR(F804="L",F804="S",F804="I"),-1,1)</f>
        <v>0</v>
      </c>
      <c r="AO804" s="487" t="e">
        <f>+VLOOKUP($AJ804,Data_Validation!$A:$D,1,0)</f>
        <v>#N/A</v>
      </c>
      <c r="AP804" s="487" t="e">
        <f>+VLOOKUP($AJ804,Data_Validation!$A:$D,3,0)</f>
        <v>#N/A</v>
      </c>
      <c r="AQ804" s="487" t="e">
        <f>+VLOOKUP($AJ804,Data_Validation!$A:$D,4,0)</f>
        <v>#N/A</v>
      </c>
      <c r="AR804" s="487" t="s">
        <v>299</v>
      </c>
      <c r="AS804" s="487" t="e">
        <f>+VLOOKUP($AJ804,Data_Validation!$A:$E,5,0)</f>
        <v>#N/A</v>
      </c>
      <c r="AT804" s="904">
        <f t="shared" si="56"/>
        <v>0</v>
      </c>
      <c r="AU804" s="488">
        <f t="shared" si="57"/>
        <v>0</v>
      </c>
      <c r="AV804" s="899">
        <f>IFERROR(INDEX(V804:AG804,1,MATCH(Parametres!$B$3,V$1:AG$1,0)-1)*IF(OR(C804="L",C804="S",C804="I"),-1,1),"")</f>
        <v>0</v>
      </c>
      <c r="AW804" s="899">
        <f t="shared" si="58"/>
        <v>0</v>
      </c>
      <c r="AX804" s="899">
        <f>INDEX(V804:AG804,1,MATCH(Parametres!$B$3,V$1:AG$1,0))*IF(OR(C804="L",C804="S",C804="I"),-1,1)</f>
        <v>0</v>
      </c>
      <c r="AY804" s="487" t="s">
        <v>337</v>
      </c>
      <c r="AZ804" s="487" t="e">
        <f>+VLOOKUP($AJ804,Data_Validation!$A:$E,5,0)</f>
        <v>#N/A</v>
      </c>
    </row>
    <row r="805" spans="36:52" ht="15" customHeight="1">
      <c r="AJ805" s="899">
        <f t="shared" si="53"/>
        <v>0</v>
      </c>
      <c r="AK805" s="899">
        <f t="shared" si="54"/>
        <v>0</v>
      </c>
      <c r="AL805" s="905">
        <f>IFERROR(INDEX(G805:R805,1,MATCH(Parametres!$B$3,G$1:R$1,0)-1)*IF(OR(F805="L",F805="S",F805="I"),-1,1),"")</f>
        <v>0</v>
      </c>
      <c r="AM805" s="905">
        <f t="shared" si="55"/>
        <v>0</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f t="shared" si="56"/>
        <v>0</v>
      </c>
      <c r="AU805" s="488">
        <f t="shared" si="57"/>
        <v>0</v>
      </c>
      <c r="AV805" s="899">
        <f>IFERROR(INDEX(V805:AG805,1,MATCH(Parametres!$B$3,V$1:AG$1,0)-1)*IF(OR(C805="L",C805="S",C805="I"),-1,1),"")</f>
        <v>0</v>
      </c>
      <c r="AW805" s="899">
        <f t="shared" si="58"/>
        <v>0</v>
      </c>
      <c r="AX805" s="899">
        <f>INDEX(V805:AG805,1,MATCH(Parametres!$B$3,V$1:AG$1,0))*IF(OR(C805="L",C805="S",C805="I"),-1,1)</f>
        <v>0</v>
      </c>
      <c r="AY805" s="487" t="s">
        <v>337</v>
      </c>
      <c r="AZ805" s="487" t="e">
        <f>+VLOOKUP($AJ805,Data_Validation!$A:$E,5,0)</f>
        <v>#N/A</v>
      </c>
    </row>
    <row r="806" spans="36:52" ht="15" customHeight="1">
      <c r="AJ806" s="899">
        <f t="shared" si="53"/>
        <v>0</v>
      </c>
      <c r="AK806" s="899">
        <f t="shared" si="54"/>
        <v>0</v>
      </c>
      <c r="AL806" s="905">
        <f>IFERROR(INDEX(G806:R806,1,MATCH(Parametres!$B$3,G$1:R$1,0)-1)*IF(OR(F806="L",F806="S",F806="I"),-1,1),"")</f>
        <v>0</v>
      </c>
      <c r="AM806" s="905">
        <f t="shared" si="55"/>
        <v>0</v>
      </c>
      <c r="AN806" s="905">
        <f>INDEX(G806:R806,1,MATCH(Parametres!$B$3,G$1:R$1,0))*IF(OR(F806="L",F806="S",F806="I"),-1,1)</f>
        <v>0</v>
      </c>
      <c r="AO806" s="487" t="e">
        <f>+VLOOKUP($AJ806,Data_Validation!$A:$D,1,0)</f>
        <v>#N/A</v>
      </c>
      <c r="AP806" s="487" t="e">
        <f>+VLOOKUP($AJ806,Data_Validation!$A:$D,3,0)</f>
        <v>#N/A</v>
      </c>
      <c r="AQ806" s="487" t="e">
        <f>+VLOOKUP($AJ806,Data_Validation!$A:$D,4,0)</f>
        <v>#N/A</v>
      </c>
      <c r="AR806" s="487" t="s">
        <v>299</v>
      </c>
      <c r="AS806" s="487" t="e">
        <f>+VLOOKUP($AJ806,Data_Validation!$A:$E,5,0)</f>
        <v>#N/A</v>
      </c>
      <c r="AT806" s="904">
        <f t="shared" si="56"/>
        <v>0</v>
      </c>
      <c r="AU806" s="488">
        <f t="shared" si="57"/>
        <v>0</v>
      </c>
      <c r="AV806" s="899">
        <f>IFERROR(INDEX(V806:AG806,1,MATCH(Parametres!$B$3,V$1:AG$1,0)-1)*IF(OR(C806="L",C806="S",C806="I"),-1,1),"")</f>
        <v>0</v>
      </c>
      <c r="AW806" s="899">
        <f t="shared" si="58"/>
        <v>0</v>
      </c>
      <c r="AX806" s="899">
        <f>INDEX(V806:AG806,1,MATCH(Parametres!$B$3,V$1:AG$1,0))*IF(OR(C806="L",C806="S",C806="I"),-1,1)</f>
        <v>0</v>
      </c>
      <c r="AY806" s="487" t="s">
        <v>337</v>
      </c>
      <c r="AZ806" s="487" t="e">
        <f>+VLOOKUP($AJ806,Data_Validation!$A:$E,5,0)</f>
        <v>#N/A</v>
      </c>
    </row>
    <row r="807" spans="36:52" ht="15" customHeight="1">
      <c r="AJ807" s="899">
        <f t="shared" si="53"/>
        <v>0</v>
      </c>
      <c r="AK807" s="899">
        <f t="shared" si="54"/>
        <v>0</v>
      </c>
      <c r="AL807" s="905">
        <f>IFERROR(INDEX(G807:R807,1,MATCH(Parametres!$B$3,G$1:R$1,0)-1)*IF(OR(F807="L",F807="S",F807="I"),-1,1),"")</f>
        <v>0</v>
      </c>
      <c r="AM807" s="905">
        <f t="shared" si="55"/>
        <v>0</v>
      </c>
      <c r="AN807" s="905">
        <f>INDEX(G807:R807,1,MATCH(Parametres!$B$3,G$1:R$1,0))*IF(OR(F807="L",F807="S",F807="I"),-1,1)</f>
        <v>0</v>
      </c>
      <c r="AO807" s="487" t="e">
        <f>+VLOOKUP($AJ807,Data_Validation!$A:$D,1,0)</f>
        <v>#N/A</v>
      </c>
      <c r="AP807" s="487" t="e">
        <f>+VLOOKUP($AJ807,Data_Validation!$A:$D,3,0)</f>
        <v>#N/A</v>
      </c>
      <c r="AQ807" s="487" t="e">
        <f>+VLOOKUP($AJ807,Data_Validation!$A:$D,4,0)</f>
        <v>#N/A</v>
      </c>
      <c r="AR807" s="487" t="s">
        <v>299</v>
      </c>
      <c r="AS807" s="487" t="e">
        <f>+VLOOKUP($AJ807,Data_Validation!$A:$E,5,0)</f>
        <v>#N/A</v>
      </c>
      <c r="AT807" s="904">
        <f t="shared" si="56"/>
        <v>0</v>
      </c>
      <c r="AU807" s="488">
        <f t="shared" si="57"/>
        <v>0</v>
      </c>
      <c r="AV807" s="899">
        <f>IFERROR(INDEX(V807:AG807,1,MATCH(Parametres!$B$3,V$1:AG$1,0)-1)*IF(OR(C807="L",C807="S",C807="I"),-1,1),"")</f>
        <v>0</v>
      </c>
      <c r="AW807" s="899">
        <f t="shared" si="58"/>
        <v>0</v>
      </c>
      <c r="AX807" s="899">
        <f>INDEX(V807:AG807,1,MATCH(Parametres!$B$3,V$1:AG$1,0))*IF(OR(C807="L",C807="S",C807="I"),-1,1)</f>
        <v>0</v>
      </c>
      <c r="AY807" s="487" t="s">
        <v>337</v>
      </c>
      <c r="AZ807" s="487" t="e">
        <f>+VLOOKUP($AJ807,Data_Validation!$A:$E,5,0)</f>
        <v>#N/A</v>
      </c>
    </row>
    <row r="808" spans="36:52" ht="15" customHeight="1">
      <c r="AJ808" s="899">
        <f t="shared" si="53"/>
        <v>0</v>
      </c>
      <c r="AK808" s="899">
        <f t="shared" si="54"/>
        <v>0</v>
      </c>
      <c r="AL808" s="905">
        <f>IFERROR(INDEX(G808:R808,1,MATCH(Parametres!$B$3,G$1:R$1,0)-1)*IF(OR(F808="L",F808="S",F808="I"),-1,1),"")</f>
        <v>0</v>
      </c>
      <c r="AM808" s="905">
        <f t="shared" si="55"/>
        <v>0</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f t="shared" si="56"/>
        <v>0</v>
      </c>
      <c r="AU808" s="488">
        <f t="shared" si="57"/>
        <v>0</v>
      </c>
      <c r="AV808" s="899">
        <f>IFERROR(INDEX(V808:AG808,1,MATCH(Parametres!$B$3,V$1:AG$1,0)-1)*IF(OR(C808="L",C808="S",C808="I"),-1,1),"")</f>
        <v>0</v>
      </c>
      <c r="AW808" s="899">
        <f t="shared" si="58"/>
        <v>0</v>
      </c>
      <c r="AX808" s="899">
        <f>INDEX(V808:AG808,1,MATCH(Parametres!$B$3,V$1:AG$1,0))*IF(OR(C808="L",C808="S",C808="I"),-1,1)</f>
        <v>0</v>
      </c>
      <c r="AY808" s="487" t="s">
        <v>337</v>
      </c>
      <c r="AZ808" s="487" t="e">
        <f>+VLOOKUP($AJ808,Data_Validation!$A:$E,5,0)</f>
        <v>#N/A</v>
      </c>
    </row>
    <row r="809" spans="36:52" ht="15" customHeight="1">
      <c r="AJ809" s="899">
        <f t="shared" si="53"/>
        <v>0</v>
      </c>
      <c r="AK809" s="899">
        <f t="shared" si="54"/>
        <v>0</v>
      </c>
      <c r="AL809" s="905">
        <f>IFERROR(INDEX(G809:R809,1,MATCH(Parametres!$B$3,G$1:R$1,0)-1)*IF(OR(F809="L",F809="S",F809="I"),-1,1),"")</f>
        <v>0</v>
      </c>
      <c r="AM809" s="905">
        <f t="shared" si="55"/>
        <v>0</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f t="shared" si="56"/>
        <v>0</v>
      </c>
      <c r="AU809" s="488">
        <f t="shared" si="57"/>
        <v>0</v>
      </c>
      <c r="AV809" s="899">
        <f>IFERROR(INDEX(V809:AG809,1,MATCH(Parametres!$B$3,V$1:AG$1,0)-1)*IF(OR(C809="L",C809="S",C809="I"),-1,1),"")</f>
        <v>0</v>
      </c>
      <c r="AW809" s="899">
        <f t="shared" si="58"/>
        <v>0</v>
      </c>
      <c r="AX809" s="899">
        <f>INDEX(V809:AG809,1,MATCH(Parametres!$B$3,V$1:AG$1,0))*IF(OR(C809="L",C809="S",C809="I"),-1,1)</f>
        <v>0</v>
      </c>
      <c r="AY809" s="487" t="s">
        <v>337</v>
      </c>
      <c r="AZ809" s="487" t="e">
        <f>+VLOOKUP($AJ809,Data_Validation!$A:$E,5,0)</f>
        <v>#N/A</v>
      </c>
    </row>
    <row r="810" spans="36:52" ht="15" customHeight="1">
      <c r="AJ810" s="899">
        <f t="shared" si="53"/>
        <v>0</v>
      </c>
      <c r="AK810" s="899">
        <f t="shared" si="54"/>
        <v>0</v>
      </c>
      <c r="AL810" s="905">
        <f>IFERROR(INDEX(G810:R810,1,MATCH(Parametres!$B$3,G$1:R$1,0)-1)*IF(OR(F810="L",F810="S",F810="I"),-1,1),"")</f>
        <v>0</v>
      </c>
      <c r="AM810" s="905">
        <f t="shared" si="55"/>
        <v>0</v>
      </c>
      <c r="AN810" s="905">
        <f>INDEX(G810:R810,1,MATCH(Parametres!$B$3,G$1:R$1,0))*IF(OR(F810="L",F810="S",F810="I"),-1,1)</f>
        <v>0</v>
      </c>
      <c r="AO810" s="487" t="e">
        <f>+VLOOKUP($AJ810,Data_Validation!$A:$D,1,0)</f>
        <v>#N/A</v>
      </c>
      <c r="AP810" s="487" t="e">
        <f>+VLOOKUP($AJ810,Data_Validation!$A:$D,3,0)</f>
        <v>#N/A</v>
      </c>
      <c r="AQ810" s="487" t="e">
        <f>+VLOOKUP($AJ810,Data_Validation!$A:$D,4,0)</f>
        <v>#N/A</v>
      </c>
      <c r="AR810" s="487" t="s">
        <v>299</v>
      </c>
      <c r="AS810" s="487" t="e">
        <f>+VLOOKUP($AJ810,Data_Validation!$A:$E,5,0)</f>
        <v>#N/A</v>
      </c>
      <c r="AT810" s="904">
        <f t="shared" si="56"/>
        <v>0</v>
      </c>
      <c r="AU810" s="488">
        <f t="shared" si="57"/>
        <v>0</v>
      </c>
      <c r="AV810" s="899">
        <f>IFERROR(INDEX(V810:AG810,1,MATCH(Parametres!$B$3,V$1:AG$1,0)-1)*IF(OR(C810="L",C810="S",C810="I"),-1,1),"")</f>
        <v>0</v>
      </c>
      <c r="AW810" s="899">
        <f t="shared" si="58"/>
        <v>0</v>
      </c>
      <c r="AX810" s="899">
        <f>INDEX(V810:AG810,1,MATCH(Parametres!$B$3,V$1:AG$1,0))*IF(OR(C810="L",C810="S",C810="I"),-1,1)</f>
        <v>0</v>
      </c>
      <c r="AY810" s="487" t="s">
        <v>337</v>
      </c>
      <c r="AZ810" s="487" t="e">
        <f>+VLOOKUP($AJ810,Data_Validation!$A:$E,5,0)</f>
        <v>#N/A</v>
      </c>
    </row>
    <row r="811" spans="36:52" ht="15" customHeight="1">
      <c r="AJ811" s="899">
        <f t="shared" si="53"/>
        <v>0</v>
      </c>
      <c r="AK811" s="899">
        <f t="shared" si="54"/>
        <v>0</v>
      </c>
      <c r="AL811" s="905">
        <f>IFERROR(INDEX(G811:R811,1,MATCH(Parametres!$B$3,G$1:R$1,0)-1)*IF(OR(F811="L",F811="S",F811="I"),-1,1),"")</f>
        <v>0</v>
      </c>
      <c r="AM811" s="905">
        <f t="shared" si="55"/>
        <v>0</v>
      </c>
      <c r="AN811" s="905">
        <f>INDEX(G811:R811,1,MATCH(Parametres!$B$3,G$1:R$1,0))*IF(OR(F811="L",F811="S",F811="I"),-1,1)</f>
        <v>0</v>
      </c>
      <c r="AO811" s="487" t="e">
        <f>+VLOOKUP($AJ811,Data_Validation!$A:$D,1,0)</f>
        <v>#N/A</v>
      </c>
      <c r="AP811" s="487" t="e">
        <f>+VLOOKUP($AJ811,Data_Validation!$A:$D,3,0)</f>
        <v>#N/A</v>
      </c>
      <c r="AQ811" s="487" t="e">
        <f>+VLOOKUP($AJ811,Data_Validation!$A:$D,4,0)</f>
        <v>#N/A</v>
      </c>
      <c r="AR811" s="487" t="s">
        <v>299</v>
      </c>
      <c r="AS811" s="487" t="e">
        <f>+VLOOKUP($AJ811,Data_Validation!$A:$E,5,0)</f>
        <v>#N/A</v>
      </c>
      <c r="AT811" s="904">
        <f t="shared" si="56"/>
        <v>0</v>
      </c>
      <c r="AU811" s="488">
        <f t="shared" si="57"/>
        <v>0</v>
      </c>
      <c r="AV811" s="899">
        <f>IFERROR(INDEX(V811:AG811,1,MATCH(Parametres!$B$3,V$1:AG$1,0)-1)*IF(OR(C811="L",C811="S",C811="I"),-1,1),"")</f>
        <v>0</v>
      </c>
      <c r="AW811" s="899">
        <f t="shared" si="58"/>
        <v>0</v>
      </c>
      <c r="AX811" s="899">
        <f>INDEX(V811:AG811,1,MATCH(Parametres!$B$3,V$1:AG$1,0))*IF(OR(C811="L",C811="S",C811="I"),-1,1)</f>
        <v>0</v>
      </c>
      <c r="AY811" s="487" t="s">
        <v>337</v>
      </c>
      <c r="AZ811" s="487" t="e">
        <f>+VLOOKUP($AJ811,Data_Validation!$A:$E,5,0)</f>
        <v>#N/A</v>
      </c>
    </row>
    <row r="812" spans="36:52" ht="15" customHeight="1">
      <c r="AJ812" s="899">
        <f t="shared" si="53"/>
        <v>0</v>
      </c>
      <c r="AK812" s="899">
        <f t="shared" si="54"/>
        <v>0</v>
      </c>
      <c r="AL812" s="905">
        <f>IFERROR(INDEX(G812:R812,1,MATCH(Parametres!$B$3,G$1:R$1,0)-1)*IF(OR(F812="L",F812="S",F812="I"),-1,1),"")</f>
        <v>0</v>
      </c>
      <c r="AM812" s="905">
        <f t="shared" si="55"/>
        <v>0</v>
      </c>
      <c r="AN812" s="905">
        <f>INDEX(G812:R812,1,MATCH(Parametres!$B$3,G$1:R$1,0))*IF(OR(F812="L",F812="S",F812="I"),-1,1)</f>
        <v>0</v>
      </c>
      <c r="AO812" s="487" t="e">
        <f>+VLOOKUP($AJ812,Data_Validation!$A:$D,1,0)</f>
        <v>#N/A</v>
      </c>
      <c r="AP812" s="487" t="e">
        <f>+VLOOKUP($AJ812,Data_Validation!$A:$D,3,0)</f>
        <v>#N/A</v>
      </c>
      <c r="AQ812" s="487" t="e">
        <f>+VLOOKUP($AJ812,Data_Validation!$A:$D,4,0)</f>
        <v>#N/A</v>
      </c>
      <c r="AR812" s="487" t="s">
        <v>299</v>
      </c>
      <c r="AS812" s="487" t="e">
        <f>+VLOOKUP($AJ812,Data_Validation!$A:$E,5,0)</f>
        <v>#N/A</v>
      </c>
      <c r="AT812" s="904">
        <f t="shared" si="56"/>
        <v>0</v>
      </c>
      <c r="AU812" s="488">
        <f t="shared" si="57"/>
        <v>0</v>
      </c>
      <c r="AV812" s="899">
        <f>IFERROR(INDEX(V812:AG812,1,MATCH(Parametres!$B$3,V$1:AG$1,0)-1)*IF(OR(C812="L",C812="S",C812="I"),-1,1),"")</f>
        <v>0</v>
      </c>
      <c r="AW812" s="899">
        <f t="shared" si="58"/>
        <v>0</v>
      </c>
      <c r="AX812" s="899">
        <f>INDEX(V812:AG812,1,MATCH(Parametres!$B$3,V$1:AG$1,0))*IF(OR(C812="L",C812="S",C812="I"),-1,1)</f>
        <v>0</v>
      </c>
      <c r="AY812" s="487" t="s">
        <v>337</v>
      </c>
      <c r="AZ812" s="487" t="e">
        <f>+VLOOKUP($AJ812,Data_Validation!$A:$E,5,0)</f>
        <v>#N/A</v>
      </c>
    </row>
    <row r="813" spans="36:52" ht="15" customHeight="1">
      <c r="AJ813" s="899">
        <f t="shared" si="53"/>
        <v>0</v>
      </c>
      <c r="AK813" s="899">
        <f t="shared" si="54"/>
        <v>0</v>
      </c>
      <c r="AL813" s="905">
        <f>IFERROR(INDEX(G813:R813,1,MATCH(Parametres!$B$3,G$1:R$1,0)-1)*IF(OR(F813="L",F813="S",F813="I"),-1,1),"")</f>
        <v>0</v>
      </c>
      <c r="AM813" s="905">
        <f t="shared" si="55"/>
        <v>0</v>
      </c>
      <c r="AN813" s="905">
        <f>INDEX(G813:R813,1,MATCH(Parametres!$B$3,G$1:R$1,0))*IF(OR(F813="L",F813="S",F813="I"),-1,1)</f>
        <v>0</v>
      </c>
      <c r="AO813" s="487" t="e">
        <f>+VLOOKUP($AJ813,Data_Validation!$A:$D,1,0)</f>
        <v>#N/A</v>
      </c>
      <c r="AP813" s="487" t="e">
        <f>+VLOOKUP($AJ813,Data_Validation!$A:$D,3,0)</f>
        <v>#N/A</v>
      </c>
      <c r="AQ813" s="487" t="e">
        <f>+VLOOKUP($AJ813,Data_Validation!$A:$D,4,0)</f>
        <v>#N/A</v>
      </c>
      <c r="AR813" s="487" t="s">
        <v>299</v>
      </c>
      <c r="AS813" s="487" t="e">
        <f>+VLOOKUP($AJ813,Data_Validation!$A:$E,5,0)</f>
        <v>#N/A</v>
      </c>
      <c r="AT813" s="904">
        <f t="shared" si="56"/>
        <v>0</v>
      </c>
      <c r="AU813" s="488">
        <f t="shared" si="57"/>
        <v>0</v>
      </c>
      <c r="AV813" s="899">
        <f>IFERROR(INDEX(V813:AG813,1,MATCH(Parametres!$B$3,V$1:AG$1,0)-1)*IF(OR(C813="L",C813="S",C813="I"),-1,1),"")</f>
        <v>0</v>
      </c>
      <c r="AW813" s="899">
        <f t="shared" si="58"/>
        <v>0</v>
      </c>
      <c r="AX813" s="899">
        <f>INDEX(V813:AG813,1,MATCH(Parametres!$B$3,V$1:AG$1,0))*IF(OR(C813="L",C813="S",C813="I"),-1,1)</f>
        <v>0</v>
      </c>
      <c r="AY813" s="487" t="s">
        <v>337</v>
      </c>
      <c r="AZ813" s="487" t="e">
        <f>+VLOOKUP($AJ813,Data_Validation!$A:$E,5,0)</f>
        <v>#N/A</v>
      </c>
    </row>
    <row r="814" spans="36:52" ht="15" customHeight="1">
      <c r="AJ814" s="899">
        <f t="shared" si="53"/>
        <v>0</v>
      </c>
      <c r="AK814" s="899">
        <f t="shared" si="54"/>
        <v>0</v>
      </c>
      <c r="AL814" s="905">
        <f>IFERROR(INDEX(G814:R814,1,MATCH(Parametres!$B$3,G$1:R$1,0)-1)*IF(OR(F814="L",F814="S",F814="I"),-1,1),"")</f>
        <v>0</v>
      </c>
      <c r="AM814" s="905">
        <f t="shared" si="55"/>
        <v>0</v>
      </c>
      <c r="AN814" s="905">
        <f>INDEX(G814:R814,1,MATCH(Parametres!$B$3,G$1:R$1,0))*IF(OR(F814="L",F814="S",F814="I"),-1,1)</f>
        <v>0</v>
      </c>
      <c r="AO814" s="487" t="e">
        <f>+VLOOKUP($AJ814,Data_Validation!$A:$D,1,0)</f>
        <v>#N/A</v>
      </c>
      <c r="AP814" s="487" t="e">
        <f>+VLOOKUP($AJ814,Data_Validation!$A:$D,3,0)</f>
        <v>#N/A</v>
      </c>
      <c r="AQ814" s="487" t="e">
        <f>+VLOOKUP($AJ814,Data_Validation!$A:$D,4,0)</f>
        <v>#N/A</v>
      </c>
      <c r="AR814" s="487" t="s">
        <v>299</v>
      </c>
      <c r="AS814" s="487" t="e">
        <f>+VLOOKUP($AJ814,Data_Validation!$A:$E,5,0)</f>
        <v>#N/A</v>
      </c>
      <c r="AT814" s="904">
        <f t="shared" si="56"/>
        <v>0</v>
      </c>
      <c r="AU814" s="488">
        <f t="shared" si="57"/>
        <v>0</v>
      </c>
      <c r="AV814" s="899">
        <f>IFERROR(INDEX(V814:AG814,1,MATCH(Parametres!$B$3,V$1:AG$1,0)-1)*IF(OR(C814="L",C814="S",C814="I"),-1,1),"")</f>
        <v>0</v>
      </c>
      <c r="AW814" s="899">
        <f t="shared" si="58"/>
        <v>0</v>
      </c>
      <c r="AX814" s="899">
        <f>INDEX(V814:AG814,1,MATCH(Parametres!$B$3,V$1:AG$1,0))*IF(OR(C814="L",C814="S",C814="I"),-1,1)</f>
        <v>0</v>
      </c>
      <c r="AY814" s="487" t="s">
        <v>337</v>
      </c>
      <c r="AZ814" s="487" t="e">
        <f>+VLOOKUP($AJ814,Data_Validation!$A:$E,5,0)</f>
        <v>#N/A</v>
      </c>
    </row>
    <row r="815" spans="36:52" ht="15" customHeight="1">
      <c r="AJ815" s="899">
        <f t="shared" si="53"/>
        <v>0</v>
      </c>
      <c r="AK815" s="899">
        <f t="shared" si="54"/>
        <v>0</v>
      </c>
      <c r="AL815" s="905">
        <f>IFERROR(INDEX(G815:R815,1,MATCH(Parametres!$B$3,G$1:R$1,0)-1)*IF(OR(F815="L",F815="S",F815="I"),-1,1),"")</f>
        <v>0</v>
      </c>
      <c r="AM815" s="905">
        <f t="shared" si="55"/>
        <v>0</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f t="shared" si="56"/>
        <v>0</v>
      </c>
      <c r="AU815" s="488">
        <f t="shared" si="57"/>
        <v>0</v>
      </c>
      <c r="AV815" s="899">
        <f>IFERROR(INDEX(V815:AG815,1,MATCH(Parametres!$B$3,V$1:AG$1,0)-1)*IF(OR(C815="L",C815="S",C815="I"),-1,1),"")</f>
        <v>0</v>
      </c>
      <c r="AW815" s="899">
        <f t="shared" si="58"/>
        <v>0</v>
      </c>
      <c r="AX815" s="899">
        <f>INDEX(V815:AG815,1,MATCH(Parametres!$B$3,V$1:AG$1,0))*IF(OR(C815="L",C815="S",C815="I"),-1,1)</f>
        <v>0</v>
      </c>
      <c r="AY815" s="487" t="s">
        <v>337</v>
      </c>
      <c r="AZ815" s="487" t="e">
        <f>+VLOOKUP($AJ815,Data_Validation!$A:$E,5,0)</f>
        <v>#N/A</v>
      </c>
    </row>
    <row r="816" spans="36:52" ht="15" customHeight="1">
      <c r="AJ816" s="899">
        <f t="shared" si="53"/>
        <v>0</v>
      </c>
      <c r="AK816" s="899">
        <f t="shared" si="54"/>
        <v>0</v>
      </c>
      <c r="AL816" s="905">
        <f>IFERROR(INDEX(G816:R816,1,MATCH(Parametres!$B$3,G$1:R$1,0)-1)*IF(OR(F816="L",F816="S",F816="I"),-1,1),"")</f>
        <v>0</v>
      </c>
      <c r="AM816" s="905">
        <f t="shared" si="55"/>
        <v>0</v>
      </c>
      <c r="AN816" s="905">
        <f>INDEX(G816:R816,1,MATCH(Parametres!$B$3,G$1:R$1,0))*IF(OR(F816="L",F816="S",F816="I"),-1,1)</f>
        <v>0</v>
      </c>
      <c r="AO816" s="487" t="e">
        <f>+VLOOKUP($AJ816,Data_Validation!$A:$D,1,0)</f>
        <v>#N/A</v>
      </c>
      <c r="AP816" s="487" t="e">
        <f>+VLOOKUP($AJ816,Data_Validation!$A:$D,3,0)</f>
        <v>#N/A</v>
      </c>
      <c r="AQ816" s="487" t="e">
        <f>+VLOOKUP($AJ816,Data_Validation!$A:$D,4,0)</f>
        <v>#N/A</v>
      </c>
      <c r="AR816" s="487" t="s">
        <v>299</v>
      </c>
      <c r="AS816" s="487" t="e">
        <f>+VLOOKUP($AJ816,Data_Validation!$A:$E,5,0)</f>
        <v>#N/A</v>
      </c>
      <c r="AT816" s="904">
        <f t="shared" si="56"/>
        <v>0</v>
      </c>
      <c r="AU816" s="488">
        <f t="shared" si="57"/>
        <v>0</v>
      </c>
      <c r="AV816" s="899">
        <f>IFERROR(INDEX(V816:AG816,1,MATCH(Parametres!$B$3,V$1:AG$1,0)-1)*IF(OR(C816="L",C816="S",C816="I"),-1,1),"")</f>
        <v>0</v>
      </c>
      <c r="AW816" s="899">
        <f t="shared" si="58"/>
        <v>0</v>
      </c>
      <c r="AX816" s="899">
        <f>INDEX(V816:AG816,1,MATCH(Parametres!$B$3,V$1:AG$1,0))*IF(OR(C816="L",C816="S",C816="I"),-1,1)</f>
        <v>0</v>
      </c>
      <c r="AY816" s="487" t="s">
        <v>337</v>
      </c>
      <c r="AZ816" s="487" t="e">
        <f>+VLOOKUP($AJ816,Data_Validation!$A:$E,5,0)</f>
        <v>#N/A</v>
      </c>
    </row>
    <row r="817" spans="36:52" ht="15" customHeight="1">
      <c r="AJ817" s="899">
        <f t="shared" si="53"/>
        <v>0</v>
      </c>
      <c r="AK817" s="899">
        <f t="shared" si="54"/>
        <v>0</v>
      </c>
      <c r="AL817" s="905">
        <f>IFERROR(INDEX(G817:R817,1,MATCH(Parametres!$B$3,G$1:R$1,0)-1)*IF(OR(F817="L",F817="S",F817="I"),-1,1),"")</f>
        <v>0</v>
      </c>
      <c r="AM817" s="905">
        <f t="shared" si="55"/>
        <v>0</v>
      </c>
      <c r="AN817" s="905">
        <f>INDEX(G817:R817,1,MATCH(Parametres!$B$3,G$1:R$1,0))*IF(OR(F817="L",F817="S",F817="I"),-1,1)</f>
        <v>0</v>
      </c>
      <c r="AO817" s="487" t="e">
        <f>+VLOOKUP($AJ817,Data_Validation!$A:$D,1,0)</f>
        <v>#N/A</v>
      </c>
      <c r="AP817" s="487" t="e">
        <f>+VLOOKUP($AJ817,Data_Validation!$A:$D,3,0)</f>
        <v>#N/A</v>
      </c>
      <c r="AQ817" s="487" t="e">
        <f>+VLOOKUP($AJ817,Data_Validation!$A:$D,4,0)</f>
        <v>#N/A</v>
      </c>
      <c r="AR817" s="487" t="s">
        <v>299</v>
      </c>
      <c r="AS817" s="487" t="e">
        <f>+VLOOKUP($AJ817,Data_Validation!$A:$E,5,0)</f>
        <v>#N/A</v>
      </c>
      <c r="AT817" s="904">
        <f t="shared" si="56"/>
        <v>0</v>
      </c>
      <c r="AU817" s="488">
        <f t="shared" si="57"/>
        <v>0</v>
      </c>
      <c r="AV817" s="899">
        <f>IFERROR(INDEX(V817:AG817,1,MATCH(Parametres!$B$3,V$1:AG$1,0)-1)*IF(OR(C817="L",C817="S",C817="I"),-1,1),"")</f>
        <v>0</v>
      </c>
      <c r="AW817" s="899">
        <f t="shared" si="58"/>
        <v>0</v>
      </c>
      <c r="AX817" s="899">
        <f>INDEX(V817:AG817,1,MATCH(Parametres!$B$3,V$1:AG$1,0))*IF(OR(C817="L",C817="S",C817="I"),-1,1)</f>
        <v>0</v>
      </c>
      <c r="AY817" s="487" t="s">
        <v>337</v>
      </c>
      <c r="AZ817" s="487" t="e">
        <f>+VLOOKUP($AJ817,Data_Validation!$A:$E,5,0)</f>
        <v>#N/A</v>
      </c>
    </row>
    <row r="818" spans="36:52" ht="15" customHeight="1">
      <c r="AJ818" s="899">
        <f t="shared" si="53"/>
        <v>0</v>
      </c>
      <c r="AK818" s="899">
        <f t="shared" si="54"/>
        <v>0</v>
      </c>
      <c r="AL818" s="905">
        <f>IFERROR(INDEX(G818:R818,1,MATCH(Parametres!$B$3,G$1:R$1,0)-1)*IF(OR(F818="L",F818="S",F818="I"),-1,1),"")</f>
        <v>0</v>
      </c>
      <c r="AM818" s="905">
        <f t="shared" si="55"/>
        <v>0</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f t="shared" si="56"/>
        <v>0</v>
      </c>
      <c r="AU818" s="488">
        <f t="shared" si="57"/>
        <v>0</v>
      </c>
      <c r="AV818" s="899">
        <f>IFERROR(INDEX(V818:AG818,1,MATCH(Parametres!$B$3,V$1:AG$1,0)-1)*IF(OR(C818="L",C818="S",C818="I"),-1,1),"")</f>
        <v>0</v>
      </c>
      <c r="AW818" s="899">
        <f t="shared" si="58"/>
        <v>0</v>
      </c>
      <c r="AX818" s="899">
        <f>INDEX(V818:AG818,1,MATCH(Parametres!$B$3,V$1:AG$1,0))*IF(OR(C818="L",C818="S",C818="I"),-1,1)</f>
        <v>0</v>
      </c>
      <c r="AY818" s="487" t="s">
        <v>337</v>
      </c>
      <c r="AZ818" s="487" t="e">
        <f>+VLOOKUP($AJ818,Data_Validation!$A:$E,5,0)</f>
        <v>#N/A</v>
      </c>
    </row>
    <row r="819" spans="36:52" ht="15" customHeight="1">
      <c r="AJ819" s="899">
        <f t="shared" si="53"/>
        <v>0</v>
      </c>
      <c r="AK819" s="899">
        <f t="shared" si="54"/>
        <v>0</v>
      </c>
      <c r="AL819" s="905">
        <f>IFERROR(INDEX(G819:R819,1,MATCH(Parametres!$B$3,G$1:R$1,0)-1)*IF(OR(F819="L",F819="S",F819="I"),-1,1),"")</f>
        <v>0</v>
      </c>
      <c r="AM819" s="905">
        <f t="shared" si="55"/>
        <v>0</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f t="shared" si="56"/>
        <v>0</v>
      </c>
      <c r="AU819" s="488">
        <f t="shared" si="57"/>
        <v>0</v>
      </c>
      <c r="AV819" s="899">
        <f>IFERROR(INDEX(V819:AG819,1,MATCH(Parametres!$B$3,V$1:AG$1,0)-1)*IF(OR(C819="L",C819="S",C819="I"),-1,1),"")</f>
        <v>0</v>
      </c>
      <c r="AW819" s="899">
        <f t="shared" si="58"/>
        <v>0</v>
      </c>
      <c r="AX819" s="899">
        <f>INDEX(V819:AG819,1,MATCH(Parametres!$B$3,V$1:AG$1,0))*IF(OR(C819="L",C819="S",C819="I"),-1,1)</f>
        <v>0</v>
      </c>
      <c r="AY819" s="487" t="s">
        <v>337</v>
      </c>
      <c r="AZ819" s="487" t="e">
        <f>+VLOOKUP($AJ819,Data_Validation!$A:$E,5,0)</f>
        <v>#N/A</v>
      </c>
    </row>
    <row r="820" spans="36:52" ht="15" customHeight="1">
      <c r="AJ820" s="899">
        <f t="shared" si="53"/>
        <v>0</v>
      </c>
      <c r="AK820" s="899">
        <f t="shared" si="54"/>
        <v>0</v>
      </c>
      <c r="AL820" s="905">
        <f>IFERROR(INDEX(G820:R820,1,MATCH(Parametres!$B$3,G$1:R$1,0)-1)*IF(OR(F820="L",F820="S",F820="I"),-1,1),"")</f>
        <v>0</v>
      </c>
      <c r="AM820" s="905">
        <f t="shared" si="55"/>
        <v>0</v>
      </c>
      <c r="AN820" s="905">
        <f>INDEX(G820:R820,1,MATCH(Parametres!$B$3,G$1:R$1,0))*IF(OR(F820="L",F820="S",F820="I"),-1,1)</f>
        <v>0</v>
      </c>
      <c r="AO820" s="487" t="e">
        <f>+VLOOKUP($AJ820,Data_Validation!$A:$D,1,0)</f>
        <v>#N/A</v>
      </c>
      <c r="AP820" s="487" t="e">
        <f>+VLOOKUP($AJ820,Data_Validation!$A:$D,3,0)</f>
        <v>#N/A</v>
      </c>
      <c r="AQ820" s="487" t="e">
        <f>+VLOOKUP($AJ820,Data_Validation!$A:$D,4,0)</f>
        <v>#N/A</v>
      </c>
      <c r="AR820" s="487" t="s">
        <v>299</v>
      </c>
      <c r="AS820" s="487" t="e">
        <f>+VLOOKUP($AJ820,Data_Validation!$A:$E,5,0)</f>
        <v>#N/A</v>
      </c>
      <c r="AT820" s="904">
        <f t="shared" si="56"/>
        <v>0</v>
      </c>
      <c r="AU820" s="488">
        <f t="shared" si="57"/>
        <v>0</v>
      </c>
      <c r="AV820" s="899">
        <f>IFERROR(INDEX(V820:AG820,1,MATCH(Parametres!$B$3,V$1:AG$1,0)-1)*IF(OR(C820="L",C820="S",C820="I"),-1,1),"")</f>
        <v>0</v>
      </c>
      <c r="AW820" s="899">
        <f t="shared" si="58"/>
        <v>0</v>
      </c>
      <c r="AX820" s="899">
        <f>INDEX(V820:AG820,1,MATCH(Parametres!$B$3,V$1:AG$1,0))*IF(OR(C820="L",C820="S",C820="I"),-1,1)</f>
        <v>0</v>
      </c>
      <c r="AY820" s="487" t="s">
        <v>337</v>
      </c>
      <c r="AZ820" s="487" t="e">
        <f>+VLOOKUP($AJ820,Data_Validation!$A:$E,5,0)</f>
        <v>#N/A</v>
      </c>
    </row>
    <row r="821" spans="36:52" ht="15" customHeight="1">
      <c r="AJ821" s="899">
        <f t="shared" si="53"/>
        <v>0</v>
      </c>
      <c r="AK821" s="899">
        <f t="shared" si="54"/>
        <v>0</v>
      </c>
      <c r="AL821" s="905">
        <f>IFERROR(INDEX(G821:R821,1,MATCH(Parametres!$B$3,G$1:R$1,0)-1)*IF(OR(F821="L",F821="S",F821="I"),-1,1),"")</f>
        <v>0</v>
      </c>
      <c r="AM821" s="905">
        <f t="shared" si="55"/>
        <v>0</v>
      </c>
      <c r="AN821" s="905">
        <f>INDEX(G821:R821,1,MATCH(Parametres!$B$3,G$1:R$1,0))*IF(OR(F821="L",F821="S",F821="I"),-1,1)</f>
        <v>0</v>
      </c>
      <c r="AO821" s="487" t="e">
        <f>+VLOOKUP($AJ821,Data_Validation!$A:$D,1,0)</f>
        <v>#N/A</v>
      </c>
      <c r="AP821" s="487" t="e">
        <f>+VLOOKUP($AJ821,Data_Validation!$A:$D,3,0)</f>
        <v>#N/A</v>
      </c>
      <c r="AQ821" s="487" t="e">
        <f>+VLOOKUP($AJ821,Data_Validation!$A:$D,4,0)</f>
        <v>#N/A</v>
      </c>
      <c r="AR821" s="487" t="s">
        <v>299</v>
      </c>
      <c r="AS821" s="487" t="e">
        <f>+VLOOKUP($AJ821,Data_Validation!$A:$E,5,0)</f>
        <v>#N/A</v>
      </c>
      <c r="AT821" s="904">
        <f t="shared" si="56"/>
        <v>0</v>
      </c>
      <c r="AU821" s="488">
        <f t="shared" si="57"/>
        <v>0</v>
      </c>
      <c r="AV821" s="899">
        <f>IFERROR(INDEX(V821:AG821,1,MATCH(Parametres!$B$3,V$1:AG$1,0)-1)*IF(OR(C821="L",C821="S",C821="I"),-1,1),"")</f>
        <v>0</v>
      </c>
      <c r="AW821" s="899">
        <f t="shared" si="58"/>
        <v>0</v>
      </c>
      <c r="AX821" s="899">
        <f>INDEX(V821:AG821,1,MATCH(Parametres!$B$3,V$1:AG$1,0))*IF(OR(C821="L",C821="S",C821="I"),-1,1)</f>
        <v>0</v>
      </c>
      <c r="AY821" s="487" t="s">
        <v>337</v>
      </c>
      <c r="AZ821" s="487" t="e">
        <f>+VLOOKUP($AJ821,Data_Validation!$A:$E,5,0)</f>
        <v>#N/A</v>
      </c>
    </row>
    <row r="822" spans="36:52" ht="15" customHeight="1">
      <c r="AJ822" s="899">
        <f t="shared" si="53"/>
        <v>0</v>
      </c>
      <c r="AK822" s="899">
        <f t="shared" si="54"/>
        <v>0</v>
      </c>
      <c r="AL822" s="905">
        <f>IFERROR(INDEX(G822:R822,1,MATCH(Parametres!$B$3,G$1:R$1,0)-1)*IF(OR(F822="L",F822="S",F822="I"),-1,1),"")</f>
        <v>0</v>
      </c>
      <c r="AM822" s="905">
        <f t="shared" si="55"/>
        <v>0</v>
      </c>
      <c r="AN822" s="905">
        <f>INDEX(G822:R822,1,MATCH(Parametres!$B$3,G$1:R$1,0))*IF(OR(F822="L",F822="S",F822="I"),-1,1)</f>
        <v>0</v>
      </c>
      <c r="AO822" s="487" t="e">
        <f>+VLOOKUP($AJ822,Data_Validation!$A:$D,1,0)</f>
        <v>#N/A</v>
      </c>
      <c r="AP822" s="487" t="e">
        <f>+VLOOKUP($AJ822,Data_Validation!$A:$D,3,0)</f>
        <v>#N/A</v>
      </c>
      <c r="AQ822" s="487" t="e">
        <f>+VLOOKUP($AJ822,Data_Validation!$A:$D,4,0)</f>
        <v>#N/A</v>
      </c>
      <c r="AR822" s="487" t="s">
        <v>299</v>
      </c>
      <c r="AS822" s="487" t="e">
        <f>+VLOOKUP($AJ822,Data_Validation!$A:$E,5,0)</f>
        <v>#N/A</v>
      </c>
      <c r="AT822" s="904">
        <f t="shared" si="56"/>
        <v>0</v>
      </c>
      <c r="AU822" s="488">
        <f t="shared" si="57"/>
        <v>0</v>
      </c>
      <c r="AV822" s="899">
        <f>IFERROR(INDEX(V822:AG822,1,MATCH(Parametres!$B$3,V$1:AG$1,0)-1)*IF(OR(C822="L",C822="S",C822="I"),-1,1),"")</f>
        <v>0</v>
      </c>
      <c r="AW822" s="899">
        <f t="shared" si="58"/>
        <v>0</v>
      </c>
      <c r="AX822" s="899">
        <f>INDEX(V822:AG822,1,MATCH(Parametres!$B$3,V$1:AG$1,0))*IF(OR(C822="L",C822="S",C822="I"),-1,1)</f>
        <v>0</v>
      </c>
      <c r="AY822" s="487" t="s">
        <v>337</v>
      </c>
      <c r="AZ822" s="487" t="e">
        <f>+VLOOKUP($AJ822,Data_Validation!$A:$E,5,0)</f>
        <v>#N/A</v>
      </c>
    </row>
    <row r="823" spans="36:52" ht="15" customHeight="1">
      <c r="AJ823" s="899">
        <f t="shared" si="53"/>
        <v>0</v>
      </c>
      <c r="AK823" s="899">
        <f t="shared" si="54"/>
        <v>0</v>
      </c>
      <c r="AL823" s="905">
        <f>IFERROR(INDEX(G823:R823,1,MATCH(Parametres!$B$3,G$1:R$1,0)-1)*IF(OR(F823="L",F823="S",F823="I"),-1,1),"")</f>
        <v>0</v>
      </c>
      <c r="AM823" s="905">
        <f t="shared" si="55"/>
        <v>0</v>
      </c>
      <c r="AN823" s="905">
        <f>INDEX(G823:R823,1,MATCH(Parametres!$B$3,G$1:R$1,0))*IF(OR(F823="L",F823="S",F823="I"),-1,1)</f>
        <v>0</v>
      </c>
      <c r="AO823" s="487" t="e">
        <f>+VLOOKUP($AJ823,Data_Validation!$A:$D,1,0)</f>
        <v>#N/A</v>
      </c>
      <c r="AP823" s="487" t="e">
        <f>+VLOOKUP($AJ823,Data_Validation!$A:$D,3,0)</f>
        <v>#N/A</v>
      </c>
      <c r="AQ823" s="487" t="e">
        <f>+VLOOKUP($AJ823,Data_Validation!$A:$D,4,0)</f>
        <v>#N/A</v>
      </c>
      <c r="AR823" s="487" t="s">
        <v>299</v>
      </c>
      <c r="AS823" s="487" t="e">
        <f>+VLOOKUP($AJ823,Data_Validation!$A:$E,5,0)</f>
        <v>#N/A</v>
      </c>
      <c r="AT823" s="904">
        <f t="shared" si="56"/>
        <v>0</v>
      </c>
      <c r="AU823" s="488">
        <f t="shared" si="57"/>
        <v>0</v>
      </c>
      <c r="AV823" s="899">
        <f>IFERROR(INDEX(V823:AG823,1,MATCH(Parametres!$B$3,V$1:AG$1,0)-1)*IF(OR(C823="L",C823="S",C823="I"),-1,1),"")</f>
        <v>0</v>
      </c>
      <c r="AW823" s="899">
        <f t="shared" si="58"/>
        <v>0</v>
      </c>
      <c r="AX823" s="899">
        <f>INDEX(V823:AG823,1,MATCH(Parametres!$B$3,V$1:AG$1,0))*IF(OR(C823="L",C823="S",C823="I"),-1,1)</f>
        <v>0</v>
      </c>
      <c r="AY823" s="487" t="s">
        <v>337</v>
      </c>
      <c r="AZ823" s="487" t="e">
        <f>+VLOOKUP($AJ823,Data_Validation!$A:$E,5,0)</f>
        <v>#N/A</v>
      </c>
    </row>
    <row r="824" spans="36:52" ht="15" customHeight="1">
      <c r="AJ824" s="899">
        <f t="shared" si="53"/>
        <v>0</v>
      </c>
      <c r="AK824" s="899">
        <f t="shared" si="54"/>
        <v>0</v>
      </c>
      <c r="AL824" s="905">
        <f>IFERROR(INDEX(G824:R824,1,MATCH(Parametres!$B$3,G$1:R$1,0)-1)*IF(OR(F824="L",F824="S",F824="I"),-1,1),"")</f>
        <v>0</v>
      </c>
      <c r="AM824" s="905">
        <f t="shared" si="55"/>
        <v>0</v>
      </c>
      <c r="AN824" s="905">
        <f>INDEX(G824:R824,1,MATCH(Parametres!$B$3,G$1:R$1,0))*IF(OR(F824="L",F824="S",F824="I"),-1,1)</f>
        <v>0</v>
      </c>
      <c r="AO824" s="487" t="e">
        <f>+VLOOKUP($AJ824,Data_Validation!$A:$D,1,0)</f>
        <v>#N/A</v>
      </c>
      <c r="AP824" s="487" t="e">
        <f>+VLOOKUP($AJ824,Data_Validation!$A:$D,3,0)</f>
        <v>#N/A</v>
      </c>
      <c r="AQ824" s="487" t="e">
        <f>+VLOOKUP($AJ824,Data_Validation!$A:$D,4,0)</f>
        <v>#N/A</v>
      </c>
      <c r="AR824" s="487" t="s">
        <v>299</v>
      </c>
      <c r="AS824" s="487" t="e">
        <f>+VLOOKUP($AJ824,Data_Validation!$A:$E,5,0)</f>
        <v>#N/A</v>
      </c>
      <c r="AT824" s="904">
        <f t="shared" si="56"/>
        <v>0</v>
      </c>
      <c r="AU824" s="488">
        <f t="shared" si="57"/>
        <v>0</v>
      </c>
      <c r="AV824" s="899">
        <f>IFERROR(INDEX(V824:AG824,1,MATCH(Parametres!$B$3,V$1:AG$1,0)-1)*IF(OR(C824="L",C824="S",C824="I"),-1,1),"")</f>
        <v>0</v>
      </c>
      <c r="AW824" s="899">
        <f t="shared" si="58"/>
        <v>0</v>
      </c>
      <c r="AX824" s="899">
        <f>INDEX(V824:AG824,1,MATCH(Parametres!$B$3,V$1:AG$1,0))*IF(OR(C824="L",C824="S",C824="I"),-1,1)</f>
        <v>0</v>
      </c>
      <c r="AY824" s="487" t="s">
        <v>337</v>
      </c>
      <c r="AZ824" s="487" t="e">
        <f>+VLOOKUP($AJ824,Data_Validation!$A:$E,5,0)</f>
        <v>#N/A</v>
      </c>
    </row>
    <row r="825" spans="36:52" ht="15" customHeight="1">
      <c r="AJ825" s="899">
        <f t="shared" si="53"/>
        <v>0</v>
      </c>
      <c r="AK825" s="899">
        <f t="shared" si="54"/>
        <v>0</v>
      </c>
      <c r="AL825" s="905">
        <f>IFERROR(INDEX(G825:R825,1,MATCH(Parametres!$B$3,G$1:R$1,0)-1)*IF(OR(F825="L",F825="S",F825="I"),-1,1),"")</f>
        <v>0</v>
      </c>
      <c r="AM825" s="905">
        <f t="shared" si="55"/>
        <v>0</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f t="shared" si="56"/>
        <v>0</v>
      </c>
      <c r="AU825" s="488">
        <f t="shared" si="57"/>
        <v>0</v>
      </c>
      <c r="AV825" s="899">
        <f>IFERROR(INDEX(V825:AG825,1,MATCH(Parametres!$B$3,V$1:AG$1,0)-1)*IF(OR(C825="L",C825="S",C825="I"),-1,1),"")</f>
        <v>0</v>
      </c>
      <c r="AW825" s="899">
        <f t="shared" si="58"/>
        <v>0</v>
      </c>
      <c r="AX825" s="899">
        <f>INDEX(V825:AG825,1,MATCH(Parametres!$B$3,V$1:AG$1,0))*IF(OR(C825="L",C825="S",C825="I"),-1,1)</f>
        <v>0</v>
      </c>
      <c r="AY825" s="487" t="s">
        <v>337</v>
      </c>
      <c r="AZ825" s="487" t="e">
        <f>+VLOOKUP($AJ825,Data_Validation!$A:$E,5,0)</f>
        <v>#N/A</v>
      </c>
    </row>
    <row r="826" spans="36:52" ht="15" customHeight="1">
      <c r="AJ826" s="899">
        <f t="shared" si="53"/>
        <v>0</v>
      </c>
      <c r="AK826" s="899">
        <f t="shared" si="54"/>
        <v>0</v>
      </c>
      <c r="AL826" s="905">
        <f>IFERROR(INDEX(G826:R826,1,MATCH(Parametres!$B$3,G$1:R$1,0)-1)*IF(OR(F826="L",F826="S",F826="I"),-1,1),"")</f>
        <v>0</v>
      </c>
      <c r="AM826" s="905">
        <f t="shared" si="55"/>
        <v>0</v>
      </c>
      <c r="AN826" s="905">
        <f>INDEX(G826:R826,1,MATCH(Parametres!$B$3,G$1:R$1,0))*IF(OR(F826="L",F826="S",F826="I"),-1,1)</f>
        <v>0</v>
      </c>
      <c r="AO826" s="487" t="e">
        <f>+VLOOKUP($AJ826,Data_Validation!$A:$D,1,0)</f>
        <v>#N/A</v>
      </c>
      <c r="AP826" s="487" t="e">
        <f>+VLOOKUP($AJ826,Data_Validation!$A:$D,3,0)</f>
        <v>#N/A</v>
      </c>
      <c r="AQ826" s="487" t="e">
        <f>+VLOOKUP($AJ826,Data_Validation!$A:$D,4,0)</f>
        <v>#N/A</v>
      </c>
      <c r="AR826" s="487" t="s">
        <v>299</v>
      </c>
      <c r="AS826" s="487" t="e">
        <f>+VLOOKUP($AJ826,Data_Validation!$A:$E,5,0)</f>
        <v>#N/A</v>
      </c>
      <c r="AT826" s="904">
        <f t="shared" si="56"/>
        <v>0</v>
      </c>
      <c r="AU826" s="488">
        <f t="shared" si="57"/>
        <v>0</v>
      </c>
      <c r="AV826" s="899">
        <f>IFERROR(INDEX(V826:AG826,1,MATCH(Parametres!$B$3,V$1:AG$1,0)-1)*IF(OR(C826="L",C826="S",C826="I"),-1,1),"")</f>
        <v>0</v>
      </c>
      <c r="AW826" s="899">
        <f t="shared" si="58"/>
        <v>0</v>
      </c>
      <c r="AX826" s="899">
        <f>INDEX(V826:AG826,1,MATCH(Parametres!$B$3,V$1:AG$1,0))*IF(OR(C826="L",C826="S",C826="I"),-1,1)</f>
        <v>0</v>
      </c>
      <c r="AY826" s="487" t="s">
        <v>337</v>
      </c>
      <c r="AZ826" s="487" t="e">
        <f>+VLOOKUP($AJ826,Data_Validation!$A:$E,5,0)</f>
        <v>#N/A</v>
      </c>
    </row>
    <row r="827" spans="36:52" ht="15" customHeight="1">
      <c r="AJ827" s="899">
        <f t="shared" si="53"/>
        <v>0</v>
      </c>
      <c r="AK827" s="899">
        <f t="shared" si="54"/>
        <v>0</v>
      </c>
      <c r="AL827" s="905">
        <f>IFERROR(INDEX(G827:R827,1,MATCH(Parametres!$B$3,G$1:R$1,0)-1)*IF(OR(F827="L",F827="S",F827="I"),-1,1),"")</f>
        <v>0</v>
      </c>
      <c r="AM827" s="905">
        <f t="shared" si="55"/>
        <v>0</v>
      </c>
      <c r="AN827" s="905">
        <f>INDEX(G827:R827,1,MATCH(Parametres!$B$3,G$1:R$1,0))*IF(OR(F827="L",F827="S",F827="I"),-1,1)</f>
        <v>0</v>
      </c>
      <c r="AO827" s="487" t="e">
        <f>+VLOOKUP($AJ827,Data_Validation!$A:$D,1,0)</f>
        <v>#N/A</v>
      </c>
      <c r="AP827" s="487" t="e">
        <f>+VLOOKUP($AJ827,Data_Validation!$A:$D,3,0)</f>
        <v>#N/A</v>
      </c>
      <c r="AQ827" s="487" t="e">
        <f>+VLOOKUP($AJ827,Data_Validation!$A:$D,4,0)</f>
        <v>#N/A</v>
      </c>
      <c r="AR827" s="487" t="s">
        <v>299</v>
      </c>
      <c r="AS827" s="487" t="e">
        <f>+VLOOKUP($AJ827,Data_Validation!$A:$E,5,0)</f>
        <v>#N/A</v>
      </c>
      <c r="AT827" s="904">
        <f t="shared" si="56"/>
        <v>0</v>
      </c>
      <c r="AU827" s="488">
        <f t="shared" si="57"/>
        <v>0</v>
      </c>
      <c r="AV827" s="899">
        <f>IFERROR(INDEX(V827:AG827,1,MATCH(Parametres!$B$3,V$1:AG$1,0)-1)*IF(OR(C827="L",C827="S",C827="I"),-1,1),"")</f>
        <v>0</v>
      </c>
      <c r="AW827" s="899">
        <f t="shared" si="58"/>
        <v>0</v>
      </c>
      <c r="AX827" s="899">
        <f>INDEX(V827:AG827,1,MATCH(Parametres!$B$3,V$1:AG$1,0))*IF(OR(C827="L",C827="S",C827="I"),-1,1)</f>
        <v>0</v>
      </c>
      <c r="AY827" s="487" t="s">
        <v>337</v>
      </c>
      <c r="AZ827" s="487" t="e">
        <f>+VLOOKUP($AJ827,Data_Validation!$A:$E,5,0)</f>
        <v>#N/A</v>
      </c>
    </row>
    <row r="828" spans="36:52" ht="15" customHeight="1">
      <c r="AJ828" s="899">
        <f t="shared" si="53"/>
        <v>0</v>
      </c>
      <c r="AK828" s="899">
        <f t="shared" si="54"/>
        <v>0</v>
      </c>
      <c r="AL828" s="905">
        <f>IFERROR(INDEX(G828:R828,1,MATCH(Parametres!$B$3,G$1:R$1,0)-1)*IF(OR(F828="L",F828="S",F828="I"),-1,1),"")</f>
        <v>0</v>
      </c>
      <c r="AM828" s="905">
        <f t="shared" si="55"/>
        <v>0</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f t="shared" si="56"/>
        <v>0</v>
      </c>
      <c r="AU828" s="488">
        <f t="shared" si="57"/>
        <v>0</v>
      </c>
      <c r="AV828" s="899">
        <f>IFERROR(INDEX(V828:AG828,1,MATCH(Parametres!$B$3,V$1:AG$1,0)-1)*IF(OR(C828="L",C828="S",C828="I"),-1,1),"")</f>
        <v>0</v>
      </c>
      <c r="AW828" s="899">
        <f t="shared" si="58"/>
        <v>0</v>
      </c>
      <c r="AX828" s="899">
        <f>INDEX(V828:AG828,1,MATCH(Parametres!$B$3,V$1:AG$1,0))*IF(OR(C828="L",C828="S",C828="I"),-1,1)</f>
        <v>0</v>
      </c>
      <c r="AY828" s="487" t="s">
        <v>337</v>
      </c>
      <c r="AZ828" s="487" t="e">
        <f>+VLOOKUP($AJ828,Data_Validation!$A:$E,5,0)</f>
        <v>#N/A</v>
      </c>
    </row>
    <row r="829" spans="36:52" ht="15" customHeight="1">
      <c r="AJ829" s="899">
        <f t="shared" si="53"/>
        <v>0</v>
      </c>
      <c r="AK829" s="899">
        <f t="shared" si="54"/>
        <v>0</v>
      </c>
      <c r="AL829" s="905">
        <f>IFERROR(INDEX(G829:R829,1,MATCH(Parametres!$B$3,G$1:R$1,0)-1)*IF(OR(F829="L",F829="S",F829="I"),-1,1),"")</f>
        <v>0</v>
      </c>
      <c r="AM829" s="905">
        <f t="shared" si="55"/>
        <v>0</v>
      </c>
      <c r="AN829" s="905">
        <f>INDEX(G829:R829,1,MATCH(Parametres!$B$3,G$1:R$1,0))*IF(OR(F829="L",F829="S",F829="I"),-1,1)</f>
        <v>0</v>
      </c>
      <c r="AO829" s="487" t="e">
        <f>+VLOOKUP($AJ829,Data_Validation!$A:$D,1,0)</f>
        <v>#N/A</v>
      </c>
      <c r="AP829" s="487" t="e">
        <f>+VLOOKUP($AJ829,Data_Validation!$A:$D,3,0)</f>
        <v>#N/A</v>
      </c>
      <c r="AQ829" s="487" t="e">
        <f>+VLOOKUP($AJ829,Data_Validation!$A:$D,4,0)</f>
        <v>#N/A</v>
      </c>
      <c r="AR829" s="487" t="s">
        <v>299</v>
      </c>
      <c r="AS829" s="487" t="e">
        <f>+VLOOKUP($AJ829,Data_Validation!$A:$E,5,0)</f>
        <v>#N/A</v>
      </c>
      <c r="AT829" s="904">
        <f t="shared" si="56"/>
        <v>0</v>
      </c>
      <c r="AU829" s="488">
        <f t="shared" si="57"/>
        <v>0</v>
      </c>
      <c r="AV829" s="899">
        <f>IFERROR(INDEX(V829:AG829,1,MATCH(Parametres!$B$3,V$1:AG$1,0)-1)*IF(OR(C829="L",C829="S",C829="I"),-1,1),"")</f>
        <v>0</v>
      </c>
      <c r="AW829" s="899">
        <f t="shared" si="58"/>
        <v>0</v>
      </c>
      <c r="AX829" s="899">
        <f>INDEX(V829:AG829,1,MATCH(Parametres!$B$3,V$1:AG$1,0))*IF(OR(C829="L",C829="S",C829="I"),-1,1)</f>
        <v>0</v>
      </c>
      <c r="AY829" s="487" t="s">
        <v>337</v>
      </c>
      <c r="AZ829" s="487" t="e">
        <f>+VLOOKUP($AJ829,Data_Validation!$A:$E,5,0)</f>
        <v>#N/A</v>
      </c>
    </row>
    <row r="830" spans="36:52" ht="15" customHeight="1">
      <c r="AJ830" s="899">
        <f t="shared" si="53"/>
        <v>0</v>
      </c>
      <c r="AK830" s="899">
        <f t="shared" si="54"/>
        <v>0</v>
      </c>
      <c r="AL830" s="905">
        <f>IFERROR(INDEX(G830:R830,1,MATCH(Parametres!$B$3,G$1:R$1,0)-1)*IF(OR(F830="L",F830="S",F830="I"),-1,1),"")</f>
        <v>0</v>
      </c>
      <c r="AM830" s="905">
        <f t="shared" si="55"/>
        <v>0</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f t="shared" si="56"/>
        <v>0</v>
      </c>
      <c r="AU830" s="488">
        <f t="shared" si="57"/>
        <v>0</v>
      </c>
      <c r="AV830" s="899">
        <f>IFERROR(INDEX(V830:AG830,1,MATCH(Parametres!$B$3,V$1:AG$1,0)-1)*IF(OR(C830="L",C830="S",C830="I"),-1,1),"")</f>
        <v>0</v>
      </c>
      <c r="AW830" s="899">
        <f t="shared" si="58"/>
        <v>0</v>
      </c>
      <c r="AX830" s="899">
        <f>INDEX(V830:AG830,1,MATCH(Parametres!$B$3,V$1:AG$1,0))*IF(OR(C830="L",C830="S",C830="I"),-1,1)</f>
        <v>0</v>
      </c>
      <c r="AY830" s="487" t="s">
        <v>337</v>
      </c>
      <c r="AZ830" s="487" t="e">
        <f>+VLOOKUP($AJ830,Data_Validation!$A:$E,5,0)</f>
        <v>#N/A</v>
      </c>
    </row>
    <row r="831" spans="36:52" ht="15" customHeight="1">
      <c r="AJ831" s="899">
        <f t="shared" si="53"/>
        <v>0</v>
      </c>
      <c r="AK831" s="899">
        <f t="shared" si="54"/>
        <v>0</v>
      </c>
      <c r="AL831" s="905">
        <f>IFERROR(INDEX(G831:R831,1,MATCH(Parametres!$B$3,G$1:R$1,0)-1)*IF(OR(F831="L",F831="S",F831="I"),-1,1),"")</f>
        <v>0</v>
      </c>
      <c r="AM831" s="905">
        <f t="shared" si="55"/>
        <v>0</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f t="shared" si="56"/>
        <v>0</v>
      </c>
      <c r="AU831" s="488">
        <f t="shared" si="57"/>
        <v>0</v>
      </c>
      <c r="AV831" s="899">
        <f>IFERROR(INDEX(V831:AG831,1,MATCH(Parametres!$B$3,V$1:AG$1,0)-1)*IF(OR(C831="L",C831="S",C831="I"),-1,1),"")</f>
        <v>0</v>
      </c>
      <c r="AW831" s="899">
        <f t="shared" si="58"/>
        <v>0</v>
      </c>
      <c r="AX831" s="899">
        <f>INDEX(V831:AG831,1,MATCH(Parametres!$B$3,V$1:AG$1,0))*IF(OR(C831="L",C831="S",C831="I"),-1,1)</f>
        <v>0</v>
      </c>
      <c r="AY831" s="487" t="s">
        <v>337</v>
      </c>
      <c r="AZ831" s="487" t="e">
        <f>+VLOOKUP($AJ831,Data_Validation!$A:$E,5,0)</f>
        <v>#N/A</v>
      </c>
    </row>
    <row r="832" spans="36:52" ht="15" customHeight="1">
      <c r="AJ832" s="899">
        <f t="shared" si="53"/>
        <v>0</v>
      </c>
      <c r="AK832" s="899">
        <f t="shared" si="54"/>
        <v>0</v>
      </c>
      <c r="AL832" s="905">
        <f>IFERROR(INDEX(G832:R832,1,MATCH(Parametres!$B$3,G$1:R$1,0)-1)*IF(OR(F832="L",F832="S",F832="I"),-1,1),"")</f>
        <v>0</v>
      </c>
      <c r="AM832" s="905">
        <f t="shared" si="55"/>
        <v>0</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f t="shared" si="56"/>
        <v>0</v>
      </c>
      <c r="AU832" s="488">
        <f t="shared" si="57"/>
        <v>0</v>
      </c>
      <c r="AV832" s="899">
        <f>IFERROR(INDEX(V832:AG832,1,MATCH(Parametres!$B$3,V$1:AG$1,0)-1)*IF(OR(C832="L",C832="S",C832="I"),-1,1),"")</f>
        <v>0</v>
      </c>
      <c r="AW832" s="899">
        <f t="shared" si="58"/>
        <v>0</v>
      </c>
      <c r="AX832" s="899">
        <f>INDEX(V832:AG832,1,MATCH(Parametres!$B$3,V$1:AG$1,0))*IF(OR(C832="L",C832="S",C832="I"),-1,1)</f>
        <v>0</v>
      </c>
      <c r="AY832" s="487" t="s">
        <v>337</v>
      </c>
      <c r="AZ832" s="487" t="e">
        <f>+VLOOKUP($AJ832,Data_Validation!$A:$E,5,0)</f>
        <v>#N/A</v>
      </c>
    </row>
    <row r="833" spans="36:52" ht="15" customHeight="1">
      <c r="AJ833" s="899">
        <f t="shared" si="53"/>
        <v>0</v>
      </c>
      <c r="AK833" s="899">
        <f t="shared" si="54"/>
        <v>0</v>
      </c>
      <c r="AL833" s="905">
        <f>IFERROR(INDEX(G833:R833,1,MATCH(Parametres!$B$3,G$1:R$1,0)-1)*IF(OR(F833="L",F833="S",F833="I"),-1,1),"")</f>
        <v>0</v>
      </c>
      <c r="AM833" s="905">
        <f t="shared" si="55"/>
        <v>0</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f t="shared" si="56"/>
        <v>0</v>
      </c>
      <c r="AU833" s="488">
        <f t="shared" si="57"/>
        <v>0</v>
      </c>
      <c r="AV833" s="899">
        <f>IFERROR(INDEX(V833:AG833,1,MATCH(Parametres!$B$3,V$1:AG$1,0)-1)*IF(OR(C833="L",C833="S",C833="I"),-1,1),"")</f>
        <v>0</v>
      </c>
      <c r="AW833" s="899">
        <f t="shared" si="58"/>
        <v>0</v>
      </c>
      <c r="AX833" s="899">
        <f>INDEX(V833:AG833,1,MATCH(Parametres!$B$3,V$1:AG$1,0))*IF(OR(C833="L",C833="S",C833="I"),-1,1)</f>
        <v>0</v>
      </c>
      <c r="AY833" s="487" t="s">
        <v>337</v>
      </c>
      <c r="AZ833" s="487" t="e">
        <f>+VLOOKUP($AJ833,Data_Validation!$A:$E,5,0)</f>
        <v>#N/A</v>
      </c>
    </row>
    <row r="834" spans="36:52" ht="15" customHeight="1">
      <c r="AJ834" s="899">
        <f t="shared" si="53"/>
        <v>0</v>
      </c>
      <c r="AK834" s="899">
        <f t="shared" si="54"/>
        <v>0</v>
      </c>
      <c r="AL834" s="905">
        <f>IFERROR(INDEX(G834:R834,1,MATCH(Parametres!$B$3,G$1:R$1,0)-1)*IF(OR(F834="L",F834="S",F834="I"),-1,1),"")</f>
        <v>0</v>
      </c>
      <c r="AM834" s="905">
        <f t="shared" si="55"/>
        <v>0</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f t="shared" si="56"/>
        <v>0</v>
      </c>
      <c r="AU834" s="488">
        <f t="shared" si="57"/>
        <v>0</v>
      </c>
      <c r="AV834" s="899">
        <f>IFERROR(INDEX(V834:AG834,1,MATCH(Parametres!$B$3,V$1:AG$1,0)-1)*IF(OR(C834="L",C834="S",C834="I"),-1,1),"")</f>
        <v>0</v>
      </c>
      <c r="AW834" s="899">
        <f t="shared" si="58"/>
        <v>0</v>
      </c>
      <c r="AX834" s="899">
        <f>INDEX(V834:AG834,1,MATCH(Parametres!$B$3,V$1:AG$1,0))*IF(OR(C834="L",C834="S",C834="I"),-1,1)</f>
        <v>0</v>
      </c>
      <c r="AY834" s="487" t="s">
        <v>337</v>
      </c>
      <c r="AZ834" s="487" t="e">
        <f>+VLOOKUP($AJ834,Data_Validation!$A:$E,5,0)</f>
        <v>#N/A</v>
      </c>
    </row>
    <row r="835" spans="36:52" ht="15" customHeight="1">
      <c r="AJ835" s="899">
        <f t="shared" si="53"/>
        <v>0</v>
      </c>
      <c r="AK835" s="899">
        <f t="shared" si="54"/>
        <v>0</v>
      </c>
      <c r="AL835" s="905">
        <f>IFERROR(INDEX(G835:R835,1,MATCH(Parametres!$B$3,G$1:R$1,0)-1)*IF(OR(F835="L",F835="S",F835="I"),-1,1),"")</f>
        <v>0</v>
      </c>
      <c r="AM835" s="905">
        <f t="shared" si="55"/>
        <v>0</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f t="shared" si="56"/>
        <v>0</v>
      </c>
      <c r="AU835" s="488">
        <f t="shared" si="57"/>
        <v>0</v>
      </c>
      <c r="AV835" s="899">
        <f>IFERROR(INDEX(V835:AG835,1,MATCH(Parametres!$B$3,V$1:AG$1,0)-1)*IF(OR(C835="L",C835="S",C835="I"),-1,1),"")</f>
        <v>0</v>
      </c>
      <c r="AW835" s="899">
        <f t="shared" si="58"/>
        <v>0</v>
      </c>
      <c r="AX835" s="899">
        <f>INDEX(V835:AG835,1,MATCH(Parametres!$B$3,V$1:AG$1,0))*IF(OR(C835="L",C835="S",C835="I"),-1,1)</f>
        <v>0</v>
      </c>
      <c r="AY835" s="487" t="s">
        <v>337</v>
      </c>
      <c r="AZ835" s="487" t="e">
        <f>+VLOOKUP($AJ835,Data_Validation!$A:$E,5,0)</f>
        <v>#N/A</v>
      </c>
    </row>
    <row r="836" spans="36:52" ht="15" customHeight="1">
      <c r="AJ836" s="899">
        <f t="shared" si="53"/>
        <v>0</v>
      </c>
      <c r="AK836" s="899">
        <f t="shared" si="54"/>
        <v>0</v>
      </c>
      <c r="AL836" s="905">
        <f>IFERROR(INDEX(G836:R836,1,MATCH(Parametres!$B$3,G$1:R$1,0)-1)*IF(OR(F836="L",F836="S",F836="I"),-1,1),"")</f>
        <v>0</v>
      </c>
      <c r="AM836" s="905">
        <f t="shared" si="55"/>
        <v>0</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f t="shared" si="56"/>
        <v>0</v>
      </c>
      <c r="AU836" s="488">
        <f t="shared" si="57"/>
        <v>0</v>
      </c>
      <c r="AV836" s="899">
        <f>IFERROR(INDEX(V836:AG836,1,MATCH(Parametres!$B$3,V$1:AG$1,0)-1)*IF(OR(C836="L",C836="S",C836="I"),-1,1),"")</f>
        <v>0</v>
      </c>
      <c r="AW836" s="899">
        <f t="shared" si="58"/>
        <v>0</v>
      </c>
      <c r="AX836" s="899">
        <f>INDEX(V836:AG836,1,MATCH(Parametres!$B$3,V$1:AG$1,0))*IF(OR(C836="L",C836="S",C836="I"),-1,1)</f>
        <v>0</v>
      </c>
      <c r="AY836" s="487" t="s">
        <v>337</v>
      </c>
      <c r="AZ836" s="487" t="e">
        <f>+VLOOKUP($AJ836,Data_Validation!$A:$E,5,0)</f>
        <v>#N/A</v>
      </c>
    </row>
    <row r="837" spans="36:52" ht="15" customHeight="1">
      <c r="AJ837" s="899">
        <f t="shared" si="53"/>
        <v>0</v>
      </c>
      <c r="AK837" s="899">
        <f t="shared" si="54"/>
        <v>0</v>
      </c>
      <c r="AL837" s="905">
        <f>IFERROR(INDEX(G837:R837,1,MATCH(Parametres!$B$3,G$1:R$1,0)-1)*IF(OR(F837="L",F837="S",F837="I"),-1,1),"")</f>
        <v>0</v>
      </c>
      <c r="AM837" s="905">
        <f t="shared" si="55"/>
        <v>0</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f t="shared" si="56"/>
        <v>0</v>
      </c>
      <c r="AU837" s="488">
        <f t="shared" si="57"/>
        <v>0</v>
      </c>
      <c r="AV837" s="899">
        <f>IFERROR(INDEX(V837:AG837,1,MATCH(Parametres!$B$3,V$1:AG$1,0)-1)*IF(OR(C837="L",C837="S",C837="I"),-1,1),"")</f>
        <v>0</v>
      </c>
      <c r="AW837" s="899">
        <f t="shared" si="58"/>
        <v>0</v>
      </c>
      <c r="AX837" s="899">
        <f>INDEX(V837:AG837,1,MATCH(Parametres!$B$3,V$1:AG$1,0))*IF(OR(C837="L",C837="S",C837="I"),-1,1)</f>
        <v>0</v>
      </c>
      <c r="AY837" s="487" t="s">
        <v>337</v>
      </c>
      <c r="AZ837" s="487" t="e">
        <f>+VLOOKUP($AJ837,Data_Validation!$A:$E,5,0)</f>
        <v>#N/A</v>
      </c>
    </row>
    <row r="838" spans="36:52" ht="15" customHeight="1">
      <c r="AJ838" s="899">
        <f t="shared" si="53"/>
        <v>0</v>
      </c>
      <c r="AK838" s="899">
        <f t="shared" si="54"/>
        <v>0</v>
      </c>
      <c r="AL838" s="905">
        <f>IFERROR(INDEX(G838:R838,1,MATCH(Parametres!$B$3,G$1:R$1,0)-1)*IF(OR(F838="L",F838="S",F838="I"),-1,1),"")</f>
        <v>0</v>
      </c>
      <c r="AM838" s="905">
        <f t="shared" si="55"/>
        <v>0</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f t="shared" si="56"/>
        <v>0</v>
      </c>
      <c r="AU838" s="488">
        <f t="shared" si="57"/>
        <v>0</v>
      </c>
      <c r="AV838" s="899">
        <f>IFERROR(INDEX(V838:AG838,1,MATCH(Parametres!$B$3,V$1:AG$1,0)-1)*IF(OR(C838="L",C838="S",C838="I"),-1,1),"")</f>
        <v>0</v>
      </c>
      <c r="AW838" s="899">
        <f t="shared" si="58"/>
        <v>0</v>
      </c>
      <c r="AX838" s="899">
        <f>INDEX(V838:AG838,1,MATCH(Parametres!$B$3,V$1:AG$1,0))*IF(OR(C838="L",C838="S",C838="I"),-1,1)</f>
        <v>0</v>
      </c>
      <c r="AY838" s="487" t="s">
        <v>337</v>
      </c>
      <c r="AZ838" s="487" t="e">
        <f>+VLOOKUP($AJ838,Data_Validation!$A:$E,5,0)</f>
        <v>#N/A</v>
      </c>
    </row>
    <row r="839" spans="36:52" ht="15" customHeight="1">
      <c r="AJ839" s="899">
        <f t="shared" si="53"/>
        <v>0</v>
      </c>
      <c r="AK839" s="899">
        <f t="shared" si="54"/>
        <v>0</v>
      </c>
      <c r="AL839" s="905">
        <f>IFERROR(INDEX(G839:R839,1,MATCH(Parametres!$B$3,G$1:R$1,0)-1)*IF(OR(F839="L",F839="S",F839="I"),-1,1),"")</f>
        <v>0</v>
      </c>
      <c r="AM839" s="905">
        <f t="shared" si="55"/>
        <v>0</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f t="shared" si="56"/>
        <v>0</v>
      </c>
      <c r="AU839" s="488">
        <f t="shared" si="57"/>
        <v>0</v>
      </c>
      <c r="AV839" s="899">
        <f>IFERROR(INDEX(V839:AG839,1,MATCH(Parametres!$B$3,V$1:AG$1,0)-1)*IF(OR(C839="L",C839="S",C839="I"),-1,1),"")</f>
        <v>0</v>
      </c>
      <c r="AW839" s="899">
        <f t="shared" si="58"/>
        <v>0</v>
      </c>
      <c r="AX839" s="899">
        <f>INDEX(V839:AG839,1,MATCH(Parametres!$B$3,V$1:AG$1,0))*IF(OR(C839="L",C839="S",C839="I"),-1,1)</f>
        <v>0</v>
      </c>
      <c r="AY839" s="487" t="s">
        <v>337</v>
      </c>
      <c r="AZ839" s="487" t="e">
        <f>+VLOOKUP($AJ839,Data_Validation!$A:$E,5,0)</f>
        <v>#N/A</v>
      </c>
    </row>
    <row r="840" spans="36:52" ht="15" customHeight="1">
      <c r="AJ840" s="899">
        <f t="shared" si="53"/>
        <v>0</v>
      </c>
      <c r="AK840" s="899">
        <f t="shared" si="54"/>
        <v>0</v>
      </c>
      <c r="AL840" s="905">
        <f>IFERROR(INDEX(G840:R840,1,MATCH(Parametres!$B$3,G$1:R$1,0)-1)*IF(OR(F840="L",F840="S",F840="I"),-1,1),"")</f>
        <v>0</v>
      </c>
      <c r="AM840" s="905">
        <f t="shared" si="55"/>
        <v>0</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f t="shared" si="56"/>
        <v>0</v>
      </c>
      <c r="AU840" s="488">
        <f t="shared" si="57"/>
        <v>0</v>
      </c>
      <c r="AV840" s="899">
        <f>IFERROR(INDEX(V840:AG840,1,MATCH(Parametres!$B$3,V$1:AG$1,0)-1)*IF(OR(C840="L",C840="S",C840="I"),-1,1),"")</f>
        <v>0</v>
      </c>
      <c r="AW840" s="899">
        <f t="shared" si="58"/>
        <v>0</v>
      </c>
      <c r="AX840" s="899">
        <f>INDEX(V840:AG840,1,MATCH(Parametres!$B$3,V$1:AG$1,0))*IF(OR(C840="L",C840="S",C840="I"),-1,1)</f>
        <v>0</v>
      </c>
      <c r="AY840" s="487" t="s">
        <v>337</v>
      </c>
      <c r="AZ840" s="487" t="e">
        <f>+VLOOKUP($AJ840,Data_Validation!$A:$E,5,0)</f>
        <v>#N/A</v>
      </c>
    </row>
    <row r="841" spans="36:52" ht="15" customHeight="1">
      <c r="AJ841" s="899">
        <f t="shared" si="53"/>
        <v>0</v>
      </c>
      <c r="AK841" s="899">
        <f t="shared" si="54"/>
        <v>0</v>
      </c>
      <c r="AL841" s="905">
        <f>IFERROR(INDEX(G841:R841,1,MATCH(Parametres!$B$3,G$1:R$1,0)-1)*IF(OR(F841="L",F841="S",F841="I"),-1,1),"")</f>
        <v>0</v>
      </c>
      <c r="AM841" s="905">
        <f t="shared" si="55"/>
        <v>0</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f t="shared" si="56"/>
        <v>0</v>
      </c>
      <c r="AU841" s="488">
        <f t="shared" si="57"/>
        <v>0</v>
      </c>
      <c r="AV841" s="899">
        <f>IFERROR(INDEX(V841:AG841,1,MATCH(Parametres!$B$3,V$1:AG$1,0)-1)*IF(OR(C841="L",C841="S",C841="I"),-1,1),"")</f>
        <v>0</v>
      </c>
      <c r="AW841" s="899">
        <f t="shared" si="58"/>
        <v>0</v>
      </c>
      <c r="AX841" s="899">
        <f>INDEX(V841:AG841,1,MATCH(Parametres!$B$3,V$1:AG$1,0))*IF(OR(C841="L",C841="S",C841="I"),-1,1)</f>
        <v>0</v>
      </c>
      <c r="AY841" s="487" t="s">
        <v>337</v>
      </c>
      <c r="AZ841" s="487" t="e">
        <f>+VLOOKUP($AJ841,Data_Validation!$A:$E,5,0)</f>
        <v>#N/A</v>
      </c>
    </row>
    <row r="842" spans="36:52" ht="15" customHeight="1">
      <c r="AJ842" s="899">
        <f t="shared" si="53"/>
        <v>0</v>
      </c>
      <c r="AK842" s="899">
        <f t="shared" si="54"/>
        <v>0</v>
      </c>
      <c r="AL842" s="905">
        <f>IFERROR(INDEX(G842:R842,1,MATCH(Parametres!$B$3,G$1:R$1,0)-1)*IF(OR(F842="L",F842="S",F842="I"),-1,1),"")</f>
        <v>0</v>
      </c>
      <c r="AM842" s="905">
        <f t="shared" si="55"/>
        <v>0</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f t="shared" si="56"/>
        <v>0</v>
      </c>
      <c r="AU842" s="488">
        <f t="shared" si="57"/>
        <v>0</v>
      </c>
      <c r="AV842" s="899">
        <f>IFERROR(INDEX(V842:AG842,1,MATCH(Parametres!$B$3,V$1:AG$1,0)-1)*IF(OR(C842="L",C842="S",C842="I"),-1,1),"")</f>
        <v>0</v>
      </c>
      <c r="AW842" s="899">
        <f t="shared" si="58"/>
        <v>0</v>
      </c>
      <c r="AX842" s="899">
        <f>INDEX(V842:AG842,1,MATCH(Parametres!$B$3,V$1:AG$1,0))*IF(OR(C842="L",C842="S",C842="I"),-1,1)</f>
        <v>0</v>
      </c>
      <c r="AY842" s="487" t="s">
        <v>337</v>
      </c>
      <c r="AZ842" s="487" t="e">
        <f>+VLOOKUP($AJ842,Data_Validation!$A:$E,5,0)</f>
        <v>#N/A</v>
      </c>
    </row>
    <row r="843" spans="36:52" ht="15" customHeight="1">
      <c r="AJ843" s="899">
        <f t="shared" si="53"/>
        <v>0</v>
      </c>
      <c r="AK843" s="899">
        <f t="shared" si="54"/>
        <v>0</v>
      </c>
      <c r="AL843" s="905">
        <f>IFERROR(INDEX(G843:R843,1,MATCH(Parametres!$B$3,G$1:R$1,0)-1)*IF(OR(F843="L",F843="S",F843="I"),-1,1),"")</f>
        <v>0</v>
      </c>
      <c r="AM843" s="905">
        <f t="shared" si="55"/>
        <v>0</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f t="shared" si="56"/>
        <v>0</v>
      </c>
      <c r="AU843" s="488">
        <f t="shared" si="57"/>
        <v>0</v>
      </c>
      <c r="AV843" s="899">
        <f>IFERROR(INDEX(V843:AG843,1,MATCH(Parametres!$B$3,V$1:AG$1,0)-1)*IF(OR(C843="L",C843="S",C843="I"),-1,1),"")</f>
        <v>0</v>
      </c>
      <c r="AW843" s="899">
        <f t="shared" si="58"/>
        <v>0</v>
      </c>
      <c r="AX843" s="899">
        <f>INDEX(V843:AG843,1,MATCH(Parametres!$B$3,V$1:AG$1,0))*IF(OR(C843="L",C843="S",C843="I"),-1,1)</f>
        <v>0</v>
      </c>
      <c r="AY843" s="487" t="s">
        <v>337</v>
      </c>
      <c r="AZ843" s="487" t="e">
        <f>+VLOOKUP($AJ843,Data_Validation!$A:$E,5,0)</f>
        <v>#N/A</v>
      </c>
    </row>
    <row r="844" spans="36:52" ht="15" customHeight="1">
      <c r="AJ844" s="899">
        <f t="shared" si="53"/>
        <v>0</v>
      </c>
      <c r="AK844" s="899">
        <f t="shared" si="54"/>
        <v>0</v>
      </c>
      <c r="AL844" s="905">
        <f>IFERROR(INDEX(G844:R844,1,MATCH(Parametres!$B$3,G$1:R$1,0)-1)*IF(OR(F844="L",F844="S",F844="I"),-1,1),"")</f>
        <v>0</v>
      </c>
      <c r="AM844" s="905">
        <f t="shared" si="55"/>
        <v>0</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f t="shared" si="56"/>
        <v>0</v>
      </c>
      <c r="AU844" s="488">
        <f t="shared" si="57"/>
        <v>0</v>
      </c>
      <c r="AV844" s="899">
        <f>IFERROR(INDEX(V844:AG844,1,MATCH(Parametres!$B$3,V$1:AG$1,0)-1)*IF(OR(C844="L",C844="S",C844="I"),-1,1),"")</f>
        <v>0</v>
      </c>
      <c r="AW844" s="899">
        <f t="shared" si="58"/>
        <v>0</v>
      </c>
      <c r="AX844" s="899">
        <f>INDEX(V844:AG844,1,MATCH(Parametres!$B$3,V$1:AG$1,0))*IF(OR(C844="L",C844="S",C844="I"),-1,1)</f>
        <v>0</v>
      </c>
      <c r="AY844" s="487" t="s">
        <v>337</v>
      </c>
      <c r="AZ844" s="487" t="e">
        <f>+VLOOKUP($AJ844,Data_Validation!$A:$E,5,0)</f>
        <v>#N/A</v>
      </c>
    </row>
    <row r="845" spans="36:52" ht="15" customHeight="1">
      <c r="AJ845" s="899">
        <f t="shared" si="53"/>
        <v>0</v>
      </c>
      <c r="AK845" s="899">
        <f t="shared" si="54"/>
        <v>0</v>
      </c>
      <c r="AL845" s="905">
        <f>IFERROR(INDEX(G845:R845,1,MATCH(Parametres!$B$3,G$1:R$1,0)-1)*IF(OR(F845="L",F845="S",F845="I"),-1,1),"")</f>
        <v>0</v>
      </c>
      <c r="AM845" s="905">
        <f t="shared" si="55"/>
        <v>0</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f t="shared" si="56"/>
        <v>0</v>
      </c>
      <c r="AU845" s="488">
        <f t="shared" si="57"/>
        <v>0</v>
      </c>
      <c r="AV845" s="899">
        <f>IFERROR(INDEX(V845:AG845,1,MATCH(Parametres!$B$3,V$1:AG$1,0)-1)*IF(OR(C845="L",C845="S",C845="I"),-1,1),"")</f>
        <v>0</v>
      </c>
      <c r="AW845" s="899">
        <f t="shared" si="58"/>
        <v>0</v>
      </c>
      <c r="AX845" s="899">
        <f>INDEX(V845:AG845,1,MATCH(Parametres!$B$3,V$1:AG$1,0))*IF(OR(C845="L",C845="S",C845="I"),-1,1)</f>
        <v>0</v>
      </c>
      <c r="AY845" s="487" t="s">
        <v>337</v>
      </c>
      <c r="AZ845" s="487" t="e">
        <f>+VLOOKUP($AJ845,Data_Validation!$A:$E,5,0)</f>
        <v>#N/A</v>
      </c>
    </row>
    <row r="846" spans="36:52" ht="15" customHeight="1">
      <c r="AJ846" s="899">
        <f t="shared" si="53"/>
        <v>0</v>
      </c>
      <c r="AK846" s="899">
        <f t="shared" si="54"/>
        <v>0</v>
      </c>
      <c r="AL846" s="905">
        <f>IFERROR(INDEX(G846:R846,1,MATCH(Parametres!$B$3,G$1:R$1,0)-1)*IF(OR(F846="L",F846="S",F846="I"),-1,1),"")</f>
        <v>0</v>
      </c>
      <c r="AM846" s="905">
        <f t="shared" si="55"/>
        <v>0</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f t="shared" si="56"/>
        <v>0</v>
      </c>
      <c r="AU846" s="488">
        <f t="shared" si="57"/>
        <v>0</v>
      </c>
      <c r="AV846" s="899">
        <f>IFERROR(INDEX(V846:AG846,1,MATCH(Parametres!$B$3,V$1:AG$1,0)-1)*IF(OR(C846="L",C846="S",C846="I"),-1,1),"")</f>
        <v>0</v>
      </c>
      <c r="AW846" s="899">
        <f t="shared" si="58"/>
        <v>0</v>
      </c>
      <c r="AX846" s="899">
        <f>INDEX(V846:AG846,1,MATCH(Parametres!$B$3,V$1:AG$1,0))*IF(OR(C846="L",C846="S",C846="I"),-1,1)</f>
        <v>0</v>
      </c>
      <c r="AY846" s="487" t="s">
        <v>337</v>
      </c>
      <c r="AZ846" s="487" t="e">
        <f>+VLOOKUP($AJ846,Data_Validation!$A:$E,5,0)</f>
        <v>#N/A</v>
      </c>
    </row>
    <row r="847" spans="36:52" ht="15" customHeight="1">
      <c r="AJ847" s="899">
        <f t="shared" si="53"/>
        <v>0</v>
      </c>
      <c r="AK847" s="899">
        <f t="shared" si="54"/>
        <v>0</v>
      </c>
      <c r="AL847" s="905">
        <f>IFERROR(INDEX(G847:R847,1,MATCH(Parametres!$B$3,G$1:R$1,0)-1)*IF(OR(F847="L",F847="S",F847="I"),-1,1),"")</f>
        <v>0</v>
      </c>
      <c r="AM847" s="905">
        <f t="shared" si="55"/>
        <v>0</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f t="shared" si="56"/>
        <v>0</v>
      </c>
      <c r="AU847" s="488">
        <f t="shared" si="57"/>
        <v>0</v>
      </c>
      <c r="AV847" s="899">
        <f>IFERROR(INDEX(V847:AG847,1,MATCH(Parametres!$B$3,V$1:AG$1,0)-1)*IF(OR(C847="L",C847="S",C847="I"),-1,1),"")</f>
        <v>0</v>
      </c>
      <c r="AW847" s="899">
        <f t="shared" si="58"/>
        <v>0</v>
      </c>
      <c r="AX847" s="899">
        <f>INDEX(V847:AG847,1,MATCH(Parametres!$B$3,V$1:AG$1,0))*IF(OR(C847="L",C847="S",C847="I"),-1,1)</f>
        <v>0</v>
      </c>
      <c r="AY847" s="487" t="s">
        <v>337</v>
      </c>
      <c r="AZ847" s="487" t="e">
        <f>+VLOOKUP($AJ847,Data_Validation!$A:$E,5,0)</f>
        <v>#N/A</v>
      </c>
    </row>
    <row r="848" spans="36:52" ht="15" customHeight="1">
      <c r="AJ848" s="899">
        <f t="shared" si="53"/>
        <v>0</v>
      </c>
      <c r="AK848" s="899">
        <f t="shared" si="54"/>
        <v>0</v>
      </c>
      <c r="AL848" s="905">
        <f>IFERROR(INDEX(G848:R848,1,MATCH(Parametres!$B$3,G$1:R$1,0)-1)*IF(OR(F848="L",F848="S",F848="I"),-1,1),"")</f>
        <v>0</v>
      </c>
      <c r="AM848" s="905">
        <f t="shared" si="55"/>
        <v>0</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f t="shared" si="56"/>
        <v>0</v>
      </c>
      <c r="AU848" s="488">
        <f t="shared" si="57"/>
        <v>0</v>
      </c>
      <c r="AV848" s="899">
        <f>IFERROR(INDEX(V848:AG848,1,MATCH(Parametres!$B$3,V$1:AG$1,0)-1)*IF(OR(C848="L",C848="S",C848="I"),-1,1),"")</f>
        <v>0</v>
      </c>
      <c r="AW848" s="899">
        <f t="shared" si="58"/>
        <v>0</v>
      </c>
      <c r="AX848" s="899">
        <f>INDEX(V848:AG848,1,MATCH(Parametres!$B$3,V$1:AG$1,0))*IF(OR(C848="L",C848="S",C848="I"),-1,1)</f>
        <v>0</v>
      </c>
      <c r="AY848" s="487" t="s">
        <v>337</v>
      </c>
      <c r="AZ848" s="487" t="e">
        <f>+VLOOKUP($AJ848,Data_Validation!$A:$E,5,0)</f>
        <v>#N/A</v>
      </c>
    </row>
    <row r="849" spans="36:52" ht="15" customHeight="1">
      <c r="AJ849" s="899">
        <f t="shared" si="53"/>
        <v>0</v>
      </c>
      <c r="AK849" s="899">
        <f t="shared" si="54"/>
        <v>0</v>
      </c>
      <c r="AL849" s="905">
        <f>IFERROR(INDEX(G849:R849,1,MATCH(Parametres!$B$3,G$1:R$1,0)-1)*IF(OR(F849="L",F849="S",F849="I"),-1,1),"")</f>
        <v>0</v>
      </c>
      <c r="AM849" s="905">
        <f t="shared" si="55"/>
        <v>0</v>
      </c>
      <c r="AN849" s="905">
        <f>INDEX(G849:R849,1,MATCH(Parametres!$B$3,G$1:R$1,0))*IF(OR(F849="L",F849="S",F849="I"),-1,1)</f>
        <v>0</v>
      </c>
      <c r="AO849" s="487" t="e">
        <f>+VLOOKUP($AJ849,Data_Validation!$A:$D,1,0)</f>
        <v>#N/A</v>
      </c>
      <c r="AP849" s="487" t="e">
        <f>+VLOOKUP($AJ849,Data_Validation!$A:$D,3,0)</f>
        <v>#N/A</v>
      </c>
      <c r="AQ849" s="487" t="e">
        <f>+VLOOKUP($AJ849,Data_Validation!$A:$D,4,0)</f>
        <v>#N/A</v>
      </c>
      <c r="AR849" s="487" t="s">
        <v>299</v>
      </c>
      <c r="AS849" s="487" t="e">
        <f>+VLOOKUP($AJ849,Data_Validation!$A:$E,5,0)</f>
        <v>#N/A</v>
      </c>
      <c r="AT849" s="904">
        <f t="shared" si="56"/>
        <v>0</v>
      </c>
      <c r="AU849" s="488">
        <f t="shared" si="57"/>
        <v>0</v>
      </c>
      <c r="AV849" s="899">
        <f>IFERROR(INDEX(V849:AG849,1,MATCH(Parametres!$B$3,V$1:AG$1,0)-1)*IF(OR(C849="L",C849="S",C849="I"),-1,1),"")</f>
        <v>0</v>
      </c>
      <c r="AW849" s="899">
        <f t="shared" si="58"/>
        <v>0</v>
      </c>
      <c r="AX849" s="899">
        <f>INDEX(V849:AG849,1,MATCH(Parametres!$B$3,V$1:AG$1,0))*IF(OR(C849="L",C849="S",C849="I"),-1,1)</f>
        <v>0</v>
      </c>
      <c r="AY849" s="487" t="s">
        <v>337</v>
      </c>
      <c r="AZ849" s="487" t="e">
        <f>+VLOOKUP($AJ849,Data_Validation!$A:$E,5,0)</f>
        <v>#N/A</v>
      </c>
    </row>
    <row r="850" spans="36:52" ht="15" customHeight="1">
      <c r="AJ850" s="899">
        <f t="shared" si="53"/>
        <v>0</v>
      </c>
      <c r="AK850" s="899">
        <f t="shared" si="54"/>
        <v>0</v>
      </c>
      <c r="AL850" s="905">
        <f>IFERROR(INDEX(G850:R850,1,MATCH(Parametres!$B$3,G$1:R$1,0)-1)*IF(OR(F850="L",F850="S",F850="I"),-1,1),"")</f>
        <v>0</v>
      </c>
      <c r="AM850" s="905">
        <f t="shared" si="55"/>
        <v>0</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f t="shared" si="56"/>
        <v>0</v>
      </c>
      <c r="AU850" s="488">
        <f t="shared" si="57"/>
        <v>0</v>
      </c>
      <c r="AV850" s="899">
        <f>IFERROR(INDEX(V850:AG850,1,MATCH(Parametres!$B$3,V$1:AG$1,0)-1)*IF(OR(C850="L",C850="S",C850="I"),-1,1),"")</f>
        <v>0</v>
      </c>
      <c r="AW850" s="899">
        <f t="shared" si="58"/>
        <v>0</v>
      </c>
      <c r="AX850" s="899">
        <f>INDEX(V850:AG850,1,MATCH(Parametres!$B$3,V$1:AG$1,0))*IF(OR(C850="L",C850="S",C850="I"),-1,1)</f>
        <v>0</v>
      </c>
      <c r="AY850" s="487" t="s">
        <v>337</v>
      </c>
      <c r="AZ850" s="487" t="e">
        <f>+VLOOKUP($AJ850,Data_Validation!$A:$E,5,0)</f>
        <v>#N/A</v>
      </c>
    </row>
    <row r="851" spans="36:52" ht="15" customHeight="1">
      <c r="AJ851" s="899">
        <f t="shared" si="53"/>
        <v>0</v>
      </c>
      <c r="AK851" s="899">
        <f t="shared" si="54"/>
        <v>0</v>
      </c>
      <c r="AL851" s="905">
        <f>IFERROR(INDEX(G851:R851,1,MATCH(Parametres!$B$3,G$1:R$1,0)-1)*IF(OR(F851="L",F851="S",F851="I"),-1,1),"")</f>
        <v>0</v>
      </c>
      <c r="AM851" s="905">
        <f t="shared" si="55"/>
        <v>0</v>
      </c>
      <c r="AN851" s="905">
        <f>INDEX(G851:R851,1,MATCH(Parametres!$B$3,G$1:R$1,0))*IF(OR(F851="L",F851="S",F851="I"),-1,1)</f>
        <v>0</v>
      </c>
      <c r="AO851" s="487" t="e">
        <f>+VLOOKUP($AJ851,Data_Validation!$A:$D,1,0)</f>
        <v>#N/A</v>
      </c>
      <c r="AP851" s="487" t="e">
        <f>+VLOOKUP($AJ851,Data_Validation!$A:$D,3,0)</f>
        <v>#N/A</v>
      </c>
      <c r="AQ851" s="487" t="e">
        <f>+VLOOKUP($AJ851,Data_Validation!$A:$D,4,0)</f>
        <v>#N/A</v>
      </c>
      <c r="AR851" s="487" t="s">
        <v>299</v>
      </c>
      <c r="AS851" s="487" t="e">
        <f>+VLOOKUP($AJ851,Data_Validation!$A:$E,5,0)</f>
        <v>#N/A</v>
      </c>
      <c r="AT851" s="904">
        <f t="shared" si="56"/>
        <v>0</v>
      </c>
      <c r="AU851" s="488">
        <f t="shared" si="57"/>
        <v>0</v>
      </c>
      <c r="AV851" s="899">
        <f>IFERROR(INDEX(V851:AG851,1,MATCH(Parametres!$B$3,V$1:AG$1,0)-1)*IF(OR(C851="L",C851="S",C851="I"),-1,1),"")</f>
        <v>0</v>
      </c>
      <c r="AW851" s="899">
        <f t="shared" si="58"/>
        <v>0</v>
      </c>
      <c r="AX851" s="899">
        <f>INDEX(V851:AG851,1,MATCH(Parametres!$B$3,V$1:AG$1,0))*IF(OR(C851="L",C851="S",C851="I"),-1,1)</f>
        <v>0</v>
      </c>
      <c r="AY851" s="487" t="s">
        <v>337</v>
      </c>
      <c r="AZ851" s="487" t="e">
        <f>+VLOOKUP($AJ851,Data_Validation!$A:$E,5,0)</f>
        <v>#N/A</v>
      </c>
    </row>
    <row r="852" spans="36:52" ht="15" customHeight="1">
      <c r="AJ852" s="899">
        <f t="shared" si="53"/>
        <v>0</v>
      </c>
      <c r="AK852" s="899">
        <f t="shared" si="54"/>
        <v>0</v>
      </c>
      <c r="AL852" s="905">
        <f>IFERROR(INDEX(G852:R852,1,MATCH(Parametres!$B$3,G$1:R$1,0)-1)*IF(OR(F852="L",F852="S",F852="I"),-1,1),"")</f>
        <v>0</v>
      </c>
      <c r="AM852" s="905">
        <f t="shared" si="55"/>
        <v>0</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f t="shared" si="56"/>
        <v>0</v>
      </c>
      <c r="AU852" s="488">
        <f t="shared" si="57"/>
        <v>0</v>
      </c>
      <c r="AV852" s="899">
        <f>IFERROR(INDEX(V852:AG852,1,MATCH(Parametres!$B$3,V$1:AG$1,0)-1)*IF(OR(C852="L",C852="S",C852="I"),-1,1),"")</f>
        <v>0</v>
      </c>
      <c r="AW852" s="899">
        <f t="shared" si="58"/>
        <v>0</v>
      </c>
      <c r="AX852" s="899">
        <f>INDEX(V852:AG852,1,MATCH(Parametres!$B$3,V$1:AG$1,0))*IF(OR(C852="L",C852="S",C852="I"),-1,1)</f>
        <v>0</v>
      </c>
      <c r="AY852" s="487" t="s">
        <v>337</v>
      </c>
      <c r="AZ852" s="487" t="e">
        <f>+VLOOKUP($AJ852,Data_Validation!$A:$E,5,0)</f>
        <v>#N/A</v>
      </c>
    </row>
    <row r="853" spans="36:52" ht="15" customHeight="1">
      <c r="AJ853" s="899">
        <f t="shared" si="53"/>
        <v>0</v>
      </c>
      <c r="AK853" s="899">
        <f t="shared" si="54"/>
        <v>0</v>
      </c>
      <c r="AL853" s="905">
        <f>IFERROR(INDEX(G853:R853,1,MATCH(Parametres!$B$3,G$1:R$1,0)-1)*IF(OR(F853="L",F853="S",F853="I"),-1,1),"")</f>
        <v>0</v>
      </c>
      <c r="AM853" s="905">
        <f t="shared" si="55"/>
        <v>0</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f t="shared" si="56"/>
        <v>0</v>
      </c>
      <c r="AU853" s="488">
        <f t="shared" si="57"/>
        <v>0</v>
      </c>
      <c r="AV853" s="899">
        <f>IFERROR(INDEX(V853:AG853,1,MATCH(Parametres!$B$3,V$1:AG$1,0)-1)*IF(OR(C853="L",C853="S",C853="I"),-1,1),"")</f>
        <v>0</v>
      </c>
      <c r="AW853" s="899">
        <f t="shared" si="58"/>
        <v>0</v>
      </c>
      <c r="AX853" s="899">
        <f>INDEX(V853:AG853,1,MATCH(Parametres!$B$3,V$1:AG$1,0))*IF(OR(C853="L",C853="S",C853="I"),-1,1)</f>
        <v>0</v>
      </c>
      <c r="AY853" s="487" t="s">
        <v>337</v>
      </c>
      <c r="AZ853" s="487" t="e">
        <f>+VLOOKUP($AJ853,Data_Validation!$A:$E,5,0)</f>
        <v>#N/A</v>
      </c>
    </row>
    <row r="854" spans="36:52" ht="15" customHeight="1">
      <c r="AJ854" s="899">
        <f t="shared" si="53"/>
        <v>0</v>
      </c>
      <c r="AK854" s="899">
        <f t="shared" si="54"/>
        <v>0</v>
      </c>
      <c r="AL854" s="905">
        <f>IFERROR(INDEX(G854:R854,1,MATCH(Parametres!$B$3,G$1:R$1,0)-1)*IF(OR(F854="L",F854="S",F854="I"),-1,1),"")</f>
        <v>0</v>
      </c>
      <c r="AM854" s="905">
        <f t="shared" si="55"/>
        <v>0</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f t="shared" si="56"/>
        <v>0</v>
      </c>
      <c r="AU854" s="488">
        <f t="shared" si="57"/>
        <v>0</v>
      </c>
      <c r="AV854" s="899">
        <f>IFERROR(INDEX(V854:AG854,1,MATCH(Parametres!$B$3,V$1:AG$1,0)-1)*IF(OR(C854="L",C854="S",C854="I"),-1,1),"")</f>
        <v>0</v>
      </c>
      <c r="AW854" s="899">
        <f t="shared" si="58"/>
        <v>0</v>
      </c>
      <c r="AX854" s="899">
        <f>INDEX(V854:AG854,1,MATCH(Parametres!$B$3,V$1:AG$1,0))*IF(OR(C854="L",C854="S",C854="I"),-1,1)</f>
        <v>0</v>
      </c>
      <c r="AY854" s="487" t="s">
        <v>337</v>
      </c>
      <c r="AZ854" s="487" t="e">
        <f>+VLOOKUP($AJ854,Data_Validation!$A:$E,5,0)</f>
        <v>#N/A</v>
      </c>
    </row>
    <row r="855" spans="36:52" ht="15" customHeight="1">
      <c r="AJ855" s="899">
        <f t="shared" si="53"/>
        <v>0</v>
      </c>
      <c r="AK855" s="899">
        <f t="shared" si="54"/>
        <v>0</v>
      </c>
      <c r="AL855" s="905">
        <f>IFERROR(INDEX(G855:R855,1,MATCH(Parametres!$B$3,G$1:R$1,0)-1)*IF(OR(F855="L",F855="S",F855="I"),-1,1),"")</f>
        <v>0</v>
      </c>
      <c r="AM855" s="905">
        <f t="shared" si="55"/>
        <v>0</v>
      </c>
      <c r="AN855" s="905">
        <f>INDEX(G855:R855,1,MATCH(Parametres!$B$3,G$1:R$1,0))*IF(OR(F855="L",F855="S",F855="I"),-1,1)</f>
        <v>0</v>
      </c>
      <c r="AO855" s="487" t="e">
        <f>+VLOOKUP($AJ855,Data_Validation!$A:$D,1,0)</f>
        <v>#N/A</v>
      </c>
      <c r="AP855" s="487" t="e">
        <f>+VLOOKUP($AJ855,Data_Validation!$A:$D,3,0)</f>
        <v>#N/A</v>
      </c>
      <c r="AQ855" s="487" t="e">
        <f>+VLOOKUP($AJ855,Data_Validation!$A:$D,4,0)</f>
        <v>#N/A</v>
      </c>
      <c r="AR855" s="487" t="s">
        <v>299</v>
      </c>
      <c r="AS855" s="487" t="e">
        <f>+VLOOKUP($AJ855,Data_Validation!$A:$E,5,0)</f>
        <v>#N/A</v>
      </c>
      <c r="AT855" s="904">
        <f t="shared" si="56"/>
        <v>0</v>
      </c>
      <c r="AU855" s="488">
        <f t="shared" si="57"/>
        <v>0</v>
      </c>
      <c r="AV855" s="899">
        <f>IFERROR(INDEX(V855:AG855,1,MATCH(Parametres!$B$3,V$1:AG$1,0)-1)*IF(OR(C855="L",C855="S",C855="I"),-1,1),"")</f>
        <v>0</v>
      </c>
      <c r="AW855" s="899">
        <f t="shared" si="58"/>
        <v>0</v>
      </c>
      <c r="AX855" s="899">
        <f>INDEX(V855:AG855,1,MATCH(Parametres!$B$3,V$1:AG$1,0))*IF(OR(C855="L",C855="S",C855="I"),-1,1)</f>
        <v>0</v>
      </c>
      <c r="AY855" s="487" t="s">
        <v>337</v>
      </c>
      <c r="AZ855" s="487" t="e">
        <f>+VLOOKUP($AJ855,Data_Validation!$A:$E,5,0)</f>
        <v>#N/A</v>
      </c>
    </row>
    <row r="856" spans="36:52" ht="15" customHeight="1">
      <c r="AJ856" s="899">
        <f t="shared" si="53"/>
        <v>0</v>
      </c>
      <c r="AK856" s="899">
        <f t="shared" si="54"/>
        <v>0</v>
      </c>
      <c r="AL856" s="905">
        <f>IFERROR(INDEX(G856:R856,1,MATCH(Parametres!$B$3,G$1:R$1,0)-1)*IF(OR(F856="L",F856="S",F856="I"),-1,1),"")</f>
        <v>0</v>
      </c>
      <c r="AM856" s="905">
        <f t="shared" si="55"/>
        <v>0</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f t="shared" si="56"/>
        <v>0</v>
      </c>
      <c r="AU856" s="488">
        <f t="shared" si="57"/>
        <v>0</v>
      </c>
      <c r="AV856" s="899">
        <f>IFERROR(INDEX(V856:AG856,1,MATCH(Parametres!$B$3,V$1:AG$1,0)-1)*IF(OR(C856="L",C856="S",C856="I"),-1,1),"")</f>
        <v>0</v>
      </c>
      <c r="AW856" s="899">
        <f t="shared" si="58"/>
        <v>0</v>
      </c>
      <c r="AX856" s="899">
        <f>INDEX(V856:AG856,1,MATCH(Parametres!$B$3,V$1:AG$1,0))*IF(OR(C856="L",C856="S",C856="I"),-1,1)</f>
        <v>0</v>
      </c>
      <c r="AY856" s="487" t="s">
        <v>337</v>
      </c>
      <c r="AZ856" s="487" t="e">
        <f>+VLOOKUP($AJ856,Data_Validation!$A:$E,5,0)</f>
        <v>#N/A</v>
      </c>
    </row>
    <row r="857" spans="36:52" ht="15" customHeight="1">
      <c r="AJ857" s="899">
        <f t="shared" ref="AJ857:AJ889" si="59">C857</f>
        <v>0</v>
      </c>
      <c r="AK857" s="899">
        <f t="shared" ref="AK857:AK889" si="60">D857</f>
        <v>0</v>
      </c>
      <c r="AL857" s="905">
        <f>IFERROR(INDEX(G857:R857,1,MATCH(Parametres!$B$3,G$1:R$1,0)-1)*IF(OR(F857="L",F857="S",F857="I"),-1,1),"")</f>
        <v>0</v>
      </c>
      <c r="AM857" s="905">
        <f t="shared" ref="AM857:AM889" si="61">AN857-AL857</f>
        <v>0</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f t="shared" ref="AT857:AT889" si="62">C857</f>
        <v>0</v>
      </c>
      <c r="AU857" s="488">
        <f t="shared" ref="AU857:AU889" si="63">D857</f>
        <v>0</v>
      </c>
      <c r="AV857" s="899">
        <f>IFERROR(INDEX(V857:AG857,1,MATCH(Parametres!$B$3,V$1:AG$1,0)-1)*IF(OR(C857="L",C857="S",C857="I"),-1,1),"")</f>
        <v>0</v>
      </c>
      <c r="AW857" s="899">
        <f t="shared" ref="AW857:AW889" si="64">AX857-AV857</f>
        <v>0</v>
      </c>
      <c r="AX857" s="899">
        <f>INDEX(V857:AG857,1,MATCH(Parametres!$B$3,V$1:AG$1,0))*IF(OR(C857="L",C857="S",C857="I"),-1,1)</f>
        <v>0</v>
      </c>
      <c r="AY857" s="487" t="s">
        <v>337</v>
      </c>
      <c r="AZ857" s="487" t="e">
        <f>+VLOOKUP($AJ857,Data_Validation!$A:$E,5,0)</f>
        <v>#N/A</v>
      </c>
    </row>
    <row r="858" spans="36:52" ht="15" customHeight="1">
      <c r="AJ858" s="899">
        <f t="shared" si="59"/>
        <v>0</v>
      </c>
      <c r="AK858" s="899">
        <f t="shared" si="60"/>
        <v>0</v>
      </c>
      <c r="AL858" s="905">
        <f>IFERROR(INDEX(G858:R858,1,MATCH(Parametres!$B$3,G$1:R$1,0)-1)*IF(OR(F858="L",F858="S",F858="I"),-1,1),"")</f>
        <v>0</v>
      </c>
      <c r="AM858" s="905">
        <f t="shared" si="61"/>
        <v>0</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f t="shared" si="62"/>
        <v>0</v>
      </c>
      <c r="AU858" s="488">
        <f t="shared" si="63"/>
        <v>0</v>
      </c>
      <c r="AV858" s="899">
        <f>IFERROR(INDEX(V858:AG858,1,MATCH(Parametres!$B$3,V$1:AG$1,0)-1)*IF(OR(C858="L",C858="S",C858="I"),-1,1),"")</f>
        <v>0</v>
      </c>
      <c r="AW858" s="899">
        <f t="shared" si="64"/>
        <v>0</v>
      </c>
      <c r="AX858" s="899">
        <f>INDEX(V858:AG858,1,MATCH(Parametres!$B$3,V$1:AG$1,0))*IF(OR(C858="L",C858="S",C858="I"),-1,1)</f>
        <v>0</v>
      </c>
      <c r="AY858" s="487" t="s">
        <v>337</v>
      </c>
      <c r="AZ858" s="487" t="e">
        <f>+VLOOKUP($AJ858,Data_Validation!$A:$E,5,0)</f>
        <v>#N/A</v>
      </c>
    </row>
    <row r="859" spans="36:52" ht="15" customHeight="1">
      <c r="AJ859" s="899">
        <f t="shared" si="59"/>
        <v>0</v>
      </c>
      <c r="AK859" s="899">
        <f t="shared" si="60"/>
        <v>0</v>
      </c>
      <c r="AL859" s="905">
        <f>IFERROR(INDEX(G859:R859,1,MATCH(Parametres!$B$3,G$1:R$1,0)-1)*IF(OR(F859="L",F859="S",F859="I"),-1,1),"")</f>
        <v>0</v>
      </c>
      <c r="AM859" s="905">
        <f t="shared" si="61"/>
        <v>0</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f t="shared" si="62"/>
        <v>0</v>
      </c>
      <c r="AU859" s="488">
        <f t="shared" si="63"/>
        <v>0</v>
      </c>
      <c r="AV859" s="899">
        <f>IFERROR(INDEX(V859:AG859,1,MATCH(Parametres!$B$3,V$1:AG$1,0)-1)*IF(OR(C859="L",C859="S",C859="I"),-1,1),"")</f>
        <v>0</v>
      </c>
      <c r="AW859" s="899">
        <f t="shared" si="64"/>
        <v>0</v>
      </c>
      <c r="AX859" s="899">
        <f>INDEX(V859:AG859,1,MATCH(Parametres!$B$3,V$1:AG$1,0))*IF(OR(C859="L",C859="S",C859="I"),-1,1)</f>
        <v>0</v>
      </c>
      <c r="AY859" s="487" t="s">
        <v>337</v>
      </c>
      <c r="AZ859" s="487" t="e">
        <f>+VLOOKUP($AJ859,Data_Validation!$A:$E,5,0)</f>
        <v>#N/A</v>
      </c>
    </row>
    <row r="860" spans="36:52" ht="15" customHeight="1">
      <c r="AJ860" s="899">
        <f t="shared" si="59"/>
        <v>0</v>
      </c>
      <c r="AK860" s="899">
        <f t="shared" si="60"/>
        <v>0</v>
      </c>
      <c r="AL860" s="905">
        <f>IFERROR(INDEX(G860:R860,1,MATCH(Parametres!$B$3,G$1:R$1,0)-1)*IF(OR(F860="L",F860="S",F860="I"),-1,1),"")</f>
        <v>0</v>
      </c>
      <c r="AM860" s="905">
        <f t="shared" si="61"/>
        <v>0</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f t="shared" si="62"/>
        <v>0</v>
      </c>
      <c r="AU860" s="488">
        <f t="shared" si="63"/>
        <v>0</v>
      </c>
      <c r="AV860" s="899">
        <f>IFERROR(INDEX(V860:AG860,1,MATCH(Parametres!$B$3,V$1:AG$1,0)-1)*IF(OR(C860="L",C860="S",C860="I"),-1,1),"")</f>
        <v>0</v>
      </c>
      <c r="AW860" s="899">
        <f t="shared" si="64"/>
        <v>0</v>
      </c>
      <c r="AX860" s="899">
        <f>INDEX(V860:AG860,1,MATCH(Parametres!$B$3,V$1:AG$1,0))*IF(OR(C860="L",C860="S",C860="I"),-1,1)</f>
        <v>0</v>
      </c>
      <c r="AY860" s="487" t="s">
        <v>337</v>
      </c>
      <c r="AZ860" s="487" t="e">
        <f>+VLOOKUP($AJ860,Data_Validation!$A:$E,5,0)</f>
        <v>#N/A</v>
      </c>
    </row>
    <row r="861" spans="36:52" ht="15" customHeight="1">
      <c r="AJ861" s="899">
        <f t="shared" si="59"/>
        <v>0</v>
      </c>
      <c r="AK861" s="899">
        <f t="shared" si="60"/>
        <v>0</v>
      </c>
      <c r="AL861" s="905">
        <f>IFERROR(INDEX(G861:R861,1,MATCH(Parametres!$B$3,G$1:R$1,0)-1)*IF(OR(F861="L",F861="S",F861="I"),-1,1),"")</f>
        <v>0</v>
      </c>
      <c r="AM861" s="905">
        <f t="shared" si="61"/>
        <v>0</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f t="shared" si="62"/>
        <v>0</v>
      </c>
      <c r="AU861" s="488">
        <f t="shared" si="63"/>
        <v>0</v>
      </c>
      <c r="AV861" s="899">
        <f>IFERROR(INDEX(V861:AG861,1,MATCH(Parametres!$B$3,V$1:AG$1,0)-1)*IF(OR(C861="L",C861="S",C861="I"),-1,1),"")</f>
        <v>0</v>
      </c>
      <c r="AW861" s="899">
        <f t="shared" si="64"/>
        <v>0</v>
      </c>
      <c r="AX861" s="899">
        <f>INDEX(V861:AG861,1,MATCH(Parametres!$B$3,V$1:AG$1,0))*IF(OR(C861="L",C861="S",C861="I"),-1,1)</f>
        <v>0</v>
      </c>
      <c r="AY861" s="487" t="s">
        <v>337</v>
      </c>
      <c r="AZ861" s="487" t="e">
        <f>+VLOOKUP($AJ861,Data_Validation!$A:$E,5,0)</f>
        <v>#N/A</v>
      </c>
    </row>
    <row r="862" spans="36:52" ht="15" customHeight="1">
      <c r="AJ862" s="899">
        <f t="shared" si="59"/>
        <v>0</v>
      </c>
      <c r="AK862" s="899">
        <f t="shared" si="60"/>
        <v>0</v>
      </c>
      <c r="AL862" s="905">
        <f>IFERROR(INDEX(G862:R862,1,MATCH(Parametres!$B$3,G$1:R$1,0)-1)*IF(OR(F862="L",F862="S",F862="I"),-1,1),"")</f>
        <v>0</v>
      </c>
      <c r="AM862" s="905">
        <f t="shared" si="61"/>
        <v>0</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f t="shared" si="62"/>
        <v>0</v>
      </c>
      <c r="AU862" s="488">
        <f t="shared" si="63"/>
        <v>0</v>
      </c>
      <c r="AV862" s="899">
        <f>IFERROR(INDEX(V862:AG862,1,MATCH(Parametres!$B$3,V$1:AG$1,0)-1)*IF(OR(C862="L",C862="S",C862="I"),-1,1),"")</f>
        <v>0</v>
      </c>
      <c r="AW862" s="899">
        <f t="shared" si="64"/>
        <v>0</v>
      </c>
      <c r="AX862" s="899">
        <f>INDEX(V862:AG862,1,MATCH(Parametres!$B$3,V$1:AG$1,0))*IF(OR(C862="L",C862="S",C862="I"),-1,1)</f>
        <v>0</v>
      </c>
      <c r="AY862" s="487" t="s">
        <v>337</v>
      </c>
      <c r="AZ862" s="487" t="e">
        <f>+VLOOKUP($AJ862,Data_Validation!$A:$E,5,0)</f>
        <v>#N/A</v>
      </c>
    </row>
    <row r="863" spans="36:52" ht="15" customHeight="1">
      <c r="AJ863" s="899">
        <f t="shared" si="59"/>
        <v>0</v>
      </c>
      <c r="AK863" s="899">
        <f t="shared" si="60"/>
        <v>0</v>
      </c>
      <c r="AL863" s="905">
        <f>IFERROR(INDEX(G863:R863,1,MATCH(Parametres!$B$3,G$1:R$1,0)-1)*IF(OR(F863="L",F863="S",F863="I"),-1,1),"")</f>
        <v>0</v>
      </c>
      <c r="AM863" s="905">
        <f t="shared" si="61"/>
        <v>0</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f t="shared" si="62"/>
        <v>0</v>
      </c>
      <c r="AU863" s="488">
        <f t="shared" si="63"/>
        <v>0</v>
      </c>
      <c r="AV863" s="899">
        <f>IFERROR(INDEX(V863:AG863,1,MATCH(Parametres!$B$3,V$1:AG$1,0)-1)*IF(OR(C863="L",C863="S",C863="I"),-1,1),"")</f>
        <v>0</v>
      </c>
      <c r="AW863" s="899">
        <f t="shared" si="64"/>
        <v>0</v>
      </c>
      <c r="AX863" s="899">
        <f>INDEX(V863:AG863,1,MATCH(Parametres!$B$3,V$1:AG$1,0))*IF(OR(C863="L",C863="S",C863="I"),-1,1)</f>
        <v>0</v>
      </c>
      <c r="AY863" s="487" t="s">
        <v>337</v>
      </c>
      <c r="AZ863" s="487" t="e">
        <f>+VLOOKUP($AJ863,Data_Validation!$A:$E,5,0)</f>
        <v>#N/A</v>
      </c>
    </row>
    <row r="864" spans="36:52" ht="15" customHeight="1">
      <c r="AJ864" s="899">
        <f t="shared" si="59"/>
        <v>0</v>
      </c>
      <c r="AK864" s="899">
        <f t="shared" si="60"/>
        <v>0</v>
      </c>
      <c r="AL864" s="905">
        <f>IFERROR(INDEX(G864:R864,1,MATCH(Parametres!$B$3,G$1:R$1,0)-1)*IF(OR(F864="L",F864="S",F864="I"),-1,1),"")</f>
        <v>0</v>
      </c>
      <c r="AM864" s="905">
        <f t="shared" si="61"/>
        <v>0</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f t="shared" si="62"/>
        <v>0</v>
      </c>
      <c r="AU864" s="488">
        <f t="shared" si="63"/>
        <v>0</v>
      </c>
      <c r="AV864" s="899">
        <f>IFERROR(INDEX(V864:AG864,1,MATCH(Parametres!$B$3,V$1:AG$1,0)-1)*IF(OR(C864="L",C864="S",C864="I"),-1,1),"")</f>
        <v>0</v>
      </c>
      <c r="AW864" s="899">
        <f t="shared" si="64"/>
        <v>0</v>
      </c>
      <c r="AX864" s="899">
        <f>INDEX(V864:AG864,1,MATCH(Parametres!$B$3,V$1:AG$1,0))*IF(OR(C864="L",C864="S",C864="I"),-1,1)</f>
        <v>0</v>
      </c>
      <c r="AY864" s="487" t="s">
        <v>337</v>
      </c>
      <c r="AZ864" s="487" t="e">
        <f>+VLOOKUP($AJ864,Data_Validation!$A:$E,5,0)</f>
        <v>#N/A</v>
      </c>
    </row>
    <row r="865" spans="36:52" ht="15" customHeight="1">
      <c r="AJ865" s="899">
        <f t="shared" si="59"/>
        <v>0</v>
      </c>
      <c r="AK865" s="899">
        <f t="shared" si="60"/>
        <v>0</v>
      </c>
      <c r="AL865" s="905">
        <f>IFERROR(INDEX(G865:R865,1,MATCH(Parametres!$B$3,G$1:R$1,0)-1)*IF(OR(F865="L",F865="S",F865="I"),-1,1),"")</f>
        <v>0</v>
      </c>
      <c r="AM865" s="905">
        <f t="shared" si="61"/>
        <v>0</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f t="shared" si="62"/>
        <v>0</v>
      </c>
      <c r="AU865" s="488">
        <f t="shared" si="63"/>
        <v>0</v>
      </c>
      <c r="AV865" s="899">
        <f>IFERROR(INDEX(V865:AG865,1,MATCH(Parametres!$B$3,V$1:AG$1,0)-1)*IF(OR(C865="L",C865="S",C865="I"),-1,1),"")</f>
        <v>0</v>
      </c>
      <c r="AW865" s="899">
        <f t="shared" si="64"/>
        <v>0</v>
      </c>
      <c r="AX865" s="899">
        <f>INDEX(V865:AG865,1,MATCH(Parametres!$B$3,V$1:AG$1,0))*IF(OR(C865="L",C865="S",C865="I"),-1,1)</f>
        <v>0</v>
      </c>
      <c r="AY865" s="487" t="s">
        <v>337</v>
      </c>
      <c r="AZ865" s="487" t="e">
        <f>+VLOOKUP($AJ865,Data_Validation!$A:$E,5,0)</f>
        <v>#N/A</v>
      </c>
    </row>
    <row r="866" spans="36:52" ht="15" customHeight="1">
      <c r="AJ866" s="899">
        <f t="shared" si="59"/>
        <v>0</v>
      </c>
      <c r="AK866" s="899">
        <f t="shared" si="60"/>
        <v>0</v>
      </c>
      <c r="AL866" s="905">
        <f>IFERROR(INDEX(G866:R866,1,MATCH(Parametres!$B$3,G$1:R$1,0)-1)*IF(OR(F866="L",F866="S",F866="I"),-1,1),"")</f>
        <v>0</v>
      </c>
      <c r="AM866" s="905">
        <f t="shared" si="61"/>
        <v>0</v>
      </c>
      <c r="AN866" s="905">
        <f>INDEX(G866:R866,1,MATCH(Parametres!$B$3,G$1:R$1,0))*IF(OR(F866="L",F866="S",F866="I"),-1,1)</f>
        <v>0</v>
      </c>
      <c r="AO866" s="487" t="e">
        <f>+VLOOKUP($AJ866,Data_Validation!$A:$D,1,0)</f>
        <v>#N/A</v>
      </c>
      <c r="AP866" s="487" t="e">
        <f>+VLOOKUP($AJ866,Data_Validation!$A:$D,3,0)</f>
        <v>#N/A</v>
      </c>
      <c r="AQ866" s="487" t="e">
        <f>+VLOOKUP($AJ866,Data_Validation!$A:$D,4,0)</f>
        <v>#N/A</v>
      </c>
      <c r="AR866" s="487" t="s">
        <v>299</v>
      </c>
      <c r="AS866" s="487" t="e">
        <f>+VLOOKUP($AJ866,Data_Validation!$A:$E,5,0)</f>
        <v>#N/A</v>
      </c>
      <c r="AT866" s="904">
        <f t="shared" si="62"/>
        <v>0</v>
      </c>
      <c r="AU866" s="488">
        <f t="shared" si="63"/>
        <v>0</v>
      </c>
      <c r="AV866" s="899">
        <f>IFERROR(INDEX(V866:AG866,1,MATCH(Parametres!$B$3,V$1:AG$1,0)-1)*IF(OR(C866="L",C866="S",C866="I"),-1,1),"")</f>
        <v>0</v>
      </c>
      <c r="AW866" s="899">
        <f t="shared" si="64"/>
        <v>0</v>
      </c>
      <c r="AX866" s="899">
        <f>INDEX(V866:AG866,1,MATCH(Parametres!$B$3,V$1:AG$1,0))*IF(OR(C866="L",C866="S",C866="I"),-1,1)</f>
        <v>0</v>
      </c>
      <c r="AY866" s="487" t="s">
        <v>337</v>
      </c>
      <c r="AZ866" s="487" t="e">
        <f>+VLOOKUP($AJ866,Data_Validation!$A:$E,5,0)</f>
        <v>#N/A</v>
      </c>
    </row>
    <row r="867" spans="36:52" ht="15" customHeight="1">
      <c r="AJ867" s="899">
        <f t="shared" si="59"/>
        <v>0</v>
      </c>
      <c r="AK867" s="899">
        <f t="shared" si="60"/>
        <v>0</v>
      </c>
      <c r="AL867" s="905">
        <f>IFERROR(INDEX(G867:R867,1,MATCH(Parametres!$B$3,G$1:R$1,0)-1)*IF(OR(F867="L",F867="S",F867="I"),-1,1),"")</f>
        <v>0</v>
      </c>
      <c r="AM867" s="905">
        <f t="shared" si="61"/>
        <v>0</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f t="shared" si="62"/>
        <v>0</v>
      </c>
      <c r="AU867" s="488">
        <f t="shared" si="63"/>
        <v>0</v>
      </c>
      <c r="AV867" s="899">
        <f>IFERROR(INDEX(V867:AG867,1,MATCH(Parametres!$B$3,V$1:AG$1,0)-1)*IF(OR(C867="L",C867="S",C867="I"),-1,1),"")</f>
        <v>0</v>
      </c>
      <c r="AW867" s="899">
        <f t="shared" si="64"/>
        <v>0</v>
      </c>
      <c r="AX867" s="899">
        <f>INDEX(V867:AG867,1,MATCH(Parametres!$B$3,V$1:AG$1,0))*IF(OR(C867="L",C867="S",C867="I"),-1,1)</f>
        <v>0</v>
      </c>
      <c r="AY867" s="487" t="s">
        <v>337</v>
      </c>
      <c r="AZ867" s="487" t="e">
        <f>+VLOOKUP($AJ867,Data_Validation!$A:$E,5,0)</f>
        <v>#N/A</v>
      </c>
    </row>
    <row r="868" spans="36:52" ht="15" customHeight="1">
      <c r="AJ868" s="899">
        <f t="shared" si="59"/>
        <v>0</v>
      </c>
      <c r="AK868" s="899">
        <f t="shared" si="60"/>
        <v>0</v>
      </c>
      <c r="AL868" s="905">
        <f>IFERROR(INDEX(G868:R868,1,MATCH(Parametres!$B$3,G$1:R$1,0)-1)*IF(OR(F868="L",F868="S",F868="I"),-1,1),"")</f>
        <v>0</v>
      </c>
      <c r="AM868" s="905">
        <f t="shared" si="61"/>
        <v>0</v>
      </c>
      <c r="AN868" s="905">
        <f>INDEX(G868:R868,1,MATCH(Parametres!$B$3,G$1:R$1,0))*IF(OR(F868="L",F868="S",F868="I"),-1,1)</f>
        <v>0</v>
      </c>
      <c r="AO868" s="487" t="e">
        <f>+VLOOKUP($AJ868,Data_Validation!$A:$D,1,0)</f>
        <v>#N/A</v>
      </c>
      <c r="AP868" s="487" t="e">
        <f>+VLOOKUP($AJ868,Data_Validation!$A:$D,3,0)</f>
        <v>#N/A</v>
      </c>
      <c r="AQ868" s="487" t="e">
        <f>+VLOOKUP($AJ868,Data_Validation!$A:$D,4,0)</f>
        <v>#N/A</v>
      </c>
      <c r="AR868" s="487" t="s">
        <v>299</v>
      </c>
      <c r="AS868" s="487" t="e">
        <f>+VLOOKUP($AJ868,Data_Validation!$A:$E,5,0)</f>
        <v>#N/A</v>
      </c>
      <c r="AT868" s="904">
        <f t="shared" si="62"/>
        <v>0</v>
      </c>
      <c r="AU868" s="488">
        <f t="shared" si="63"/>
        <v>0</v>
      </c>
      <c r="AV868" s="899">
        <f>IFERROR(INDEX(V868:AG868,1,MATCH(Parametres!$B$3,V$1:AG$1,0)-1)*IF(OR(C868="L",C868="S",C868="I"),-1,1),"")</f>
        <v>0</v>
      </c>
      <c r="AW868" s="899">
        <f t="shared" si="64"/>
        <v>0</v>
      </c>
      <c r="AX868" s="899">
        <f>INDEX(V868:AG868,1,MATCH(Parametres!$B$3,V$1:AG$1,0))*IF(OR(C868="L",C868="S",C868="I"),-1,1)</f>
        <v>0</v>
      </c>
      <c r="AY868" s="487" t="s">
        <v>337</v>
      </c>
      <c r="AZ868" s="487" t="e">
        <f>+VLOOKUP($AJ868,Data_Validation!$A:$E,5,0)</f>
        <v>#N/A</v>
      </c>
    </row>
    <row r="869" spans="36:52" ht="15" customHeight="1">
      <c r="AJ869" s="899">
        <f t="shared" si="59"/>
        <v>0</v>
      </c>
      <c r="AK869" s="899">
        <f t="shared" si="60"/>
        <v>0</v>
      </c>
      <c r="AL869" s="905">
        <f>IFERROR(INDEX(G869:R869,1,MATCH(Parametres!$B$3,G$1:R$1,0)-1)*IF(OR(F869="L",F869="S",F869="I"),-1,1),"")</f>
        <v>0</v>
      </c>
      <c r="AM869" s="905">
        <f t="shared" si="61"/>
        <v>0</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f t="shared" si="62"/>
        <v>0</v>
      </c>
      <c r="AU869" s="488">
        <f t="shared" si="63"/>
        <v>0</v>
      </c>
      <c r="AV869" s="899">
        <f>IFERROR(INDEX(V869:AG869,1,MATCH(Parametres!$B$3,V$1:AG$1,0)-1)*IF(OR(C869="L",C869="S",C869="I"),-1,1),"")</f>
        <v>0</v>
      </c>
      <c r="AW869" s="899">
        <f t="shared" si="64"/>
        <v>0</v>
      </c>
      <c r="AX869" s="899">
        <f>INDEX(V869:AG869,1,MATCH(Parametres!$B$3,V$1:AG$1,0))*IF(OR(C869="L",C869="S",C869="I"),-1,1)</f>
        <v>0</v>
      </c>
      <c r="AY869" s="487" t="s">
        <v>337</v>
      </c>
      <c r="AZ869" s="487" t="e">
        <f>+VLOOKUP($AJ869,Data_Validation!$A:$E,5,0)</f>
        <v>#N/A</v>
      </c>
    </row>
    <row r="870" spans="36:52" ht="15" customHeight="1">
      <c r="AJ870" s="899">
        <f t="shared" si="59"/>
        <v>0</v>
      </c>
      <c r="AK870" s="899">
        <f t="shared" si="60"/>
        <v>0</v>
      </c>
      <c r="AL870" s="905">
        <f>IFERROR(INDEX(G870:R870,1,MATCH(Parametres!$B$3,G$1:R$1,0)-1)*IF(OR(F870="L",F870="S",F870="I"),-1,1),"")</f>
        <v>0</v>
      </c>
      <c r="AM870" s="905">
        <f t="shared" si="61"/>
        <v>0</v>
      </c>
      <c r="AN870" s="905">
        <f>INDEX(G870:R870,1,MATCH(Parametres!$B$3,G$1:R$1,0))*IF(OR(F870="L",F870="S",F870="I"),-1,1)</f>
        <v>0</v>
      </c>
      <c r="AO870" s="487" t="e">
        <f>+VLOOKUP($AJ870,Data_Validation!$A:$D,1,0)</f>
        <v>#N/A</v>
      </c>
      <c r="AP870" s="487" t="e">
        <f>+VLOOKUP($AJ870,Data_Validation!$A:$D,3,0)</f>
        <v>#N/A</v>
      </c>
      <c r="AQ870" s="487" t="e">
        <f>+VLOOKUP($AJ870,Data_Validation!$A:$D,4,0)</f>
        <v>#N/A</v>
      </c>
      <c r="AR870" s="487" t="s">
        <v>299</v>
      </c>
      <c r="AS870" s="487" t="e">
        <f>+VLOOKUP($AJ870,Data_Validation!$A:$E,5,0)</f>
        <v>#N/A</v>
      </c>
      <c r="AT870" s="904">
        <f t="shared" si="62"/>
        <v>0</v>
      </c>
      <c r="AU870" s="488">
        <f t="shared" si="63"/>
        <v>0</v>
      </c>
      <c r="AV870" s="899">
        <f>IFERROR(INDEX(V870:AG870,1,MATCH(Parametres!$B$3,V$1:AG$1,0)-1)*IF(OR(C870="L",C870="S",C870="I"),-1,1),"")</f>
        <v>0</v>
      </c>
      <c r="AW870" s="899">
        <f t="shared" si="64"/>
        <v>0</v>
      </c>
      <c r="AX870" s="899">
        <f>INDEX(V870:AG870,1,MATCH(Parametres!$B$3,V$1:AG$1,0))*IF(OR(C870="L",C870="S",C870="I"),-1,1)</f>
        <v>0</v>
      </c>
      <c r="AY870" s="487" t="s">
        <v>337</v>
      </c>
      <c r="AZ870" s="487" t="e">
        <f>+VLOOKUP($AJ870,Data_Validation!$A:$E,5,0)</f>
        <v>#N/A</v>
      </c>
    </row>
    <row r="871" spans="36:52" ht="15" customHeight="1">
      <c r="AJ871" s="899">
        <f t="shared" si="59"/>
        <v>0</v>
      </c>
      <c r="AK871" s="899">
        <f t="shared" si="60"/>
        <v>0</v>
      </c>
      <c r="AL871" s="905">
        <f>IFERROR(INDEX(G871:R871,1,MATCH(Parametres!$B$3,G$1:R$1,0)-1)*IF(OR(F871="L",F871="S",F871="I"),-1,1),"")</f>
        <v>0</v>
      </c>
      <c r="AM871" s="905">
        <f t="shared" si="61"/>
        <v>0</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f t="shared" si="62"/>
        <v>0</v>
      </c>
      <c r="AU871" s="488">
        <f t="shared" si="63"/>
        <v>0</v>
      </c>
      <c r="AV871" s="899">
        <f>IFERROR(INDEX(V871:AG871,1,MATCH(Parametres!$B$3,V$1:AG$1,0)-1)*IF(OR(C871="L",C871="S",C871="I"),-1,1),"")</f>
        <v>0</v>
      </c>
      <c r="AW871" s="899">
        <f t="shared" si="64"/>
        <v>0</v>
      </c>
      <c r="AX871" s="899">
        <f>INDEX(V871:AG871,1,MATCH(Parametres!$B$3,V$1:AG$1,0))*IF(OR(C871="L",C871="S",C871="I"),-1,1)</f>
        <v>0</v>
      </c>
      <c r="AY871" s="487" t="s">
        <v>337</v>
      </c>
      <c r="AZ871" s="487" t="e">
        <f>+VLOOKUP($AJ871,Data_Validation!$A:$E,5,0)</f>
        <v>#N/A</v>
      </c>
    </row>
    <row r="872" spans="36:52" ht="15" customHeight="1">
      <c r="AJ872" s="899">
        <f t="shared" si="59"/>
        <v>0</v>
      </c>
      <c r="AK872" s="899">
        <f t="shared" si="60"/>
        <v>0</v>
      </c>
      <c r="AL872" s="905">
        <f>IFERROR(INDEX(G872:R872,1,MATCH(Parametres!$B$3,G$1:R$1,0)-1)*IF(OR(F872="L",F872="S",F872="I"),-1,1),"")</f>
        <v>0</v>
      </c>
      <c r="AM872" s="905">
        <f t="shared" si="61"/>
        <v>0</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f t="shared" si="62"/>
        <v>0</v>
      </c>
      <c r="AU872" s="488">
        <f t="shared" si="63"/>
        <v>0</v>
      </c>
      <c r="AV872" s="899">
        <f>IFERROR(INDEX(V872:AG872,1,MATCH(Parametres!$B$3,V$1:AG$1,0)-1)*IF(OR(C872="L",C872="S",C872="I"),-1,1),"")</f>
        <v>0</v>
      </c>
      <c r="AW872" s="899">
        <f t="shared" si="64"/>
        <v>0</v>
      </c>
      <c r="AX872" s="899">
        <f>INDEX(V872:AG872,1,MATCH(Parametres!$B$3,V$1:AG$1,0))*IF(OR(C872="L",C872="S",C872="I"),-1,1)</f>
        <v>0</v>
      </c>
      <c r="AY872" s="487" t="s">
        <v>337</v>
      </c>
      <c r="AZ872" s="487" t="e">
        <f>+VLOOKUP($AJ872,Data_Validation!$A:$E,5,0)</f>
        <v>#N/A</v>
      </c>
    </row>
    <row r="873" spans="36:52" ht="15" customHeight="1">
      <c r="AJ873" s="899">
        <f t="shared" si="59"/>
        <v>0</v>
      </c>
      <c r="AK873" s="899">
        <f t="shared" si="60"/>
        <v>0</v>
      </c>
      <c r="AL873" s="905">
        <f>IFERROR(INDEX(G873:R873,1,MATCH(Parametres!$B$3,G$1:R$1,0)-1)*IF(OR(F873="L",F873="S",F873="I"),-1,1),"")</f>
        <v>0</v>
      </c>
      <c r="AM873" s="905">
        <f t="shared" si="61"/>
        <v>0</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f t="shared" si="62"/>
        <v>0</v>
      </c>
      <c r="AU873" s="488">
        <f t="shared" si="63"/>
        <v>0</v>
      </c>
      <c r="AV873" s="899">
        <f>IFERROR(INDEX(V873:AG873,1,MATCH(Parametres!$B$3,V$1:AG$1,0)-1)*IF(OR(C873="L",C873="S",C873="I"),-1,1),"")</f>
        <v>0</v>
      </c>
      <c r="AW873" s="899">
        <f t="shared" si="64"/>
        <v>0</v>
      </c>
      <c r="AX873" s="899">
        <f>INDEX(V873:AG873,1,MATCH(Parametres!$B$3,V$1:AG$1,0))*IF(OR(C873="L",C873="S",C873="I"),-1,1)</f>
        <v>0</v>
      </c>
      <c r="AY873" s="487" t="s">
        <v>337</v>
      </c>
      <c r="AZ873" s="487" t="e">
        <f>+VLOOKUP($AJ873,Data_Validation!$A:$E,5,0)</f>
        <v>#N/A</v>
      </c>
    </row>
    <row r="874" spans="36:52" ht="15" customHeight="1">
      <c r="AJ874" s="899">
        <f t="shared" si="59"/>
        <v>0</v>
      </c>
      <c r="AK874" s="899">
        <f t="shared" si="60"/>
        <v>0</v>
      </c>
      <c r="AL874" s="905">
        <f>IFERROR(INDEX(G874:R874,1,MATCH(Parametres!$B$3,G$1:R$1,0)-1)*IF(OR(F874="L",F874="S",F874="I"),-1,1),"")</f>
        <v>0</v>
      </c>
      <c r="AM874" s="905">
        <f t="shared" si="61"/>
        <v>0</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f t="shared" si="62"/>
        <v>0</v>
      </c>
      <c r="AU874" s="488">
        <f t="shared" si="63"/>
        <v>0</v>
      </c>
      <c r="AV874" s="899">
        <f>IFERROR(INDEX(V874:AG874,1,MATCH(Parametres!$B$3,V$1:AG$1,0)-1)*IF(OR(C874="L",C874="S",C874="I"),-1,1),"")</f>
        <v>0</v>
      </c>
      <c r="AW874" s="899">
        <f t="shared" si="64"/>
        <v>0</v>
      </c>
      <c r="AX874" s="899">
        <f>INDEX(V874:AG874,1,MATCH(Parametres!$B$3,V$1:AG$1,0))*IF(OR(C874="L",C874="S",C874="I"),-1,1)</f>
        <v>0</v>
      </c>
      <c r="AY874" s="487" t="s">
        <v>337</v>
      </c>
      <c r="AZ874" s="487" t="e">
        <f>+VLOOKUP($AJ874,Data_Validation!$A:$E,5,0)</f>
        <v>#N/A</v>
      </c>
    </row>
    <row r="875" spans="36:52" ht="15" customHeight="1">
      <c r="AJ875" s="899">
        <f t="shared" si="59"/>
        <v>0</v>
      </c>
      <c r="AK875" s="899">
        <f t="shared" si="60"/>
        <v>0</v>
      </c>
      <c r="AL875" s="905">
        <f>IFERROR(INDEX(G875:R875,1,MATCH(Parametres!$B$3,G$1:R$1,0)-1)*IF(OR(F875="L",F875="S",F875="I"),-1,1),"")</f>
        <v>0</v>
      </c>
      <c r="AM875" s="905">
        <f t="shared" si="61"/>
        <v>0</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f t="shared" si="62"/>
        <v>0</v>
      </c>
      <c r="AU875" s="488">
        <f t="shared" si="63"/>
        <v>0</v>
      </c>
      <c r="AV875" s="899">
        <f>IFERROR(INDEX(V875:AG875,1,MATCH(Parametres!$B$3,V$1:AG$1,0)-1)*IF(OR(C875="L",C875="S",C875="I"),-1,1),"")</f>
        <v>0</v>
      </c>
      <c r="AW875" s="899">
        <f t="shared" si="64"/>
        <v>0</v>
      </c>
      <c r="AX875" s="899">
        <f>INDEX(V875:AG875,1,MATCH(Parametres!$B$3,V$1:AG$1,0))*IF(OR(C875="L",C875="S",C875="I"),-1,1)</f>
        <v>0</v>
      </c>
      <c r="AY875" s="487" t="s">
        <v>337</v>
      </c>
      <c r="AZ875" s="487" t="e">
        <f>+VLOOKUP($AJ875,Data_Validation!$A:$E,5,0)</f>
        <v>#N/A</v>
      </c>
    </row>
    <row r="876" spans="36:52" ht="15" customHeight="1">
      <c r="AJ876" s="899">
        <f t="shared" si="59"/>
        <v>0</v>
      </c>
      <c r="AK876" s="899">
        <f t="shared" si="60"/>
        <v>0</v>
      </c>
      <c r="AL876" s="905">
        <f>IFERROR(INDEX(G876:R876,1,MATCH(Parametres!$B$3,G$1:R$1,0)-1)*IF(OR(F876="L",F876="S",F876="I"),-1,1),"")</f>
        <v>0</v>
      </c>
      <c r="AM876" s="905">
        <f t="shared" si="61"/>
        <v>0</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f t="shared" si="62"/>
        <v>0</v>
      </c>
      <c r="AU876" s="488">
        <f t="shared" si="63"/>
        <v>0</v>
      </c>
      <c r="AV876" s="899">
        <f>IFERROR(INDEX(V876:AG876,1,MATCH(Parametres!$B$3,V$1:AG$1,0)-1)*IF(OR(C876="L",C876="S",C876="I"),-1,1),"")</f>
        <v>0</v>
      </c>
      <c r="AW876" s="899">
        <f t="shared" si="64"/>
        <v>0</v>
      </c>
      <c r="AX876" s="899">
        <f>INDEX(V876:AG876,1,MATCH(Parametres!$B$3,V$1:AG$1,0))*IF(OR(C876="L",C876="S",C876="I"),-1,1)</f>
        <v>0</v>
      </c>
      <c r="AY876" s="487" t="s">
        <v>337</v>
      </c>
      <c r="AZ876" s="487" t="e">
        <f>+VLOOKUP($AJ876,Data_Validation!$A:$E,5,0)</f>
        <v>#N/A</v>
      </c>
    </row>
    <row r="877" spans="36:52" ht="15" customHeight="1">
      <c r="AJ877" s="899">
        <f t="shared" si="59"/>
        <v>0</v>
      </c>
      <c r="AK877" s="899">
        <f t="shared" si="60"/>
        <v>0</v>
      </c>
      <c r="AL877" s="905">
        <f>IFERROR(INDEX(G877:R877,1,MATCH(Parametres!$B$3,G$1:R$1,0)-1)*IF(OR(F877="L",F877="S",F877="I"),-1,1),"")</f>
        <v>0</v>
      </c>
      <c r="AM877" s="905">
        <f t="shared" si="61"/>
        <v>0</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f t="shared" si="62"/>
        <v>0</v>
      </c>
      <c r="AU877" s="488">
        <f t="shared" si="63"/>
        <v>0</v>
      </c>
      <c r="AV877" s="899">
        <f>IFERROR(INDEX(V877:AG877,1,MATCH(Parametres!$B$3,V$1:AG$1,0)-1)*IF(OR(C877="L",C877="S",C877="I"),-1,1),"")</f>
        <v>0</v>
      </c>
      <c r="AW877" s="899">
        <f t="shared" si="64"/>
        <v>0</v>
      </c>
      <c r="AX877" s="899">
        <f>INDEX(V877:AG877,1,MATCH(Parametres!$B$3,V$1:AG$1,0))*IF(OR(C877="L",C877="S",C877="I"),-1,1)</f>
        <v>0</v>
      </c>
      <c r="AY877" s="487" t="s">
        <v>337</v>
      </c>
      <c r="AZ877" s="487" t="e">
        <f>+VLOOKUP($AJ877,Data_Validation!$A:$E,5,0)</f>
        <v>#N/A</v>
      </c>
    </row>
    <row r="878" spans="36:52" ht="15" customHeight="1">
      <c r="AJ878" s="899">
        <f t="shared" si="59"/>
        <v>0</v>
      </c>
      <c r="AK878" s="899">
        <f t="shared" si="60"/>
        <v>0</v>
      </c>
      <c r="AL878" s="905">
        <f>IFERROR(INDEX(G878:R878,1,MATCH(Parametres!$B$3,G$1:R$1,0)-1)*IF(OR(F878="L",F878="S",F878="I"),-1,1),"")</f>
        <v>0</v>
      </c>
      <c r="AM878" s="905">
        <f t="shared" si="61"/>
        <v>0</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f t="shared" si="62"/>
        <v>0</v>
      </c>
      <c r="AU878" s="488">
        <f t="shared" si="63"/>
        <v>0</v>
      </c>
      <c r="AV878" s="899">
        <f>IFERROR(INDEX(V878:AG878,1,MATCH(Parametres!$B$3,V$1:AG$1,0)-1)*IF(OR(C878="L",C878="S",C878="I"),-1,1),"")</f>
        <v>0</v>
      </c>
      <c r="AW878" s="899">
        <f t="shared" si="64"/>
        <v>0</v>
      </c>
      <c r="AX878" s="899">
        <f>INDEX(V878:AG878,1,MATCH(Parametres!$B$3,V$1:AG$1,0))*IF(OR(C878="L",C878="S",C878="I"),-1,1)</f>
        <v>0</v>
      </c>
      <c r="AY878" s="487" t="s">
        <v>337</v>
      </c>
      <c r="AZ878" s="487" t="e">
        <f>+VLOOKUP($AJ878,Data_Validation!$A:$E,5,0)</f>
        <v>#N/A</v>
      </c>
    </row>
    <row r="879" spans="36:52" ht="15" customHeight="1">
      <c r="AJ879" s="899">
        <f t="shared" si="59"/>
        <v>0</v>
      </c>
      <c r="AK879" s="899">
        <f t="shared" si="60"/>
        <v>0</v>
      </c>
      <c r="AL879" s="905">
        <f>IFERROR(INDEX(G879:R879,1,MATCH(Parametres!$B$3,G$1:R$1,0)-1)*IF(OR(F879="L",F879="S",F879="I"),-1,1),"")</f>
        <v>0</v>
      </c>
      <c r="AM879" s="905">
        <f t="shared" si="61"/>
        <v>0</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f t="shared" si="62"/>
        <v>0</v>
      </c>
      <c r="AU879" s="488">
        <f t="shared" si="63"/>
        <v>0</v>
      </c>
      <c r="AV879" s="899">
        <f>IFERROR(INDEX(V879:AG879,1,MATCH(Parametres!$B$3,V$1:AG$1,0)-1)*IF(OR(C879="L",C879="S",C879="I"),-1,1),"")</f>
        <v>0</v>
      </c>
      <c r="AW879" s="899">
        <f t="shared" si="64"/>
        <v>0</v>
      </c>
      <c r="AX879" s="899">
        <f>INDEX(V879:AG879,1,MATCH(Parametres!$B$3,V$1:AG$1,0))*IF(OR(C879="L",C879="S",C879="I"),-1,1)</f>
        <v>0</v>
      </c>
      <c r="AY879" s="487" t="s">
        <v>337</v>
      </c>
      <c r="AZ879" s="487" t="e">
        <f>+VLOOKUP($AJ879,Data_Validation!$A:$E,5,0)</f>
        <v>#N/A</v>
      </c>
    </row>
    <row r="880" spans="36:52" ht="15" customHeight="1">
      <c r="AJ880" s="899">
        <f t="shared" si="59"/>
        <v>0</v>
      </c>
      <c r="AK880" s="899">
        <f t="shared" si="60"/>
        <v>0</v>
      </c>
      <c r="AL880" s="905">
        <f>IFERROR(INDEX(G880:R880,1,MATCH(Parametres!$B$3,G$1:R$1,0)-1)*IF(OR(F880="L",F880="S",F880="I"),-1,1),"")</f>
        <v>0</v>
      </c>
      <c r="AM880" s="905">
        <f t="shared" si="61"/>
        <v>0</v>
      </c>
      <c r="AN880" s="905">
        <f>INDEX(G880:R880,1,MATCH(Parametres!$B$3,G$1:R$1,0))*IF(OR(F880="L",F880="S",F880="I"),-1,1)</f>
        <v>0</v>
      </c>
      <c r="AO880" s="487" t="e">
        <f>+VLOOKUP($AJ880,Data_Validation!$A:$D,1,0)</f>
        <v>#N/A</v>
      </c>
      <c r="AP880" s="487" t="e">
        <f>+VLOOKUP($AJ880,Data_Validation!$A:$D,3,0)</f>
        <v>#N/A</v>
      </c>
      <c r="AQ880" s="487" t="e">
        <f>+VLOOKUP($AJ880,Data_Validation!$A:$D,4,0)</f>
        <v>#N/A</v>
      </c>
      <c r="AR880" s="487" t="s">
        <v>299</v>
      </c>
      <c r="AS880" s="487" t="e">
        <f>+VLOOKUP($AJ880,Data_Validation!$A:$E,5,0)</f>
        <v>#N/A</v>
      </c>
      <c r="AT880" s="904">
        <f t="shared" si="62"/>
        <v>0</v>
      </c>
      <c r="AU880" s="488">
        <f t="shared" si="63"/>
        <v>0</v>
      </c>
      <c r="AV880" s="899">
        <f>IFERROR(INDEX(V880:AG880,1,MATCH(Parametres!$B$3,V$1:AG$1,0)-1)*IF(OR(C880="L",C880="S",C880="I"),-1,1),"")</f>
        <v>0</v>
      </c>
      <c r="AW880" s="899">
        <f t="shared" si="64"/>
        <v>0</v>
      </c>
      <c r="AX880" s="899">
        <f>INDEX(V880:AG880,1,MATCH(Parametres!$B$3,V$1:AG$1,0))*IF(OR(C880="L",C880="S",C880="I"),-1,1)</f>
        <v>0</v>
      </c>
      <c r="AY880" s="487" t="s">
        <v>337</v>
      </c>
      <c r="AZ880" s="487" t="e">
        <f>+VLOOKUP($AJ880,Data_Validation!$A:$E,5,0)</f>
        <v>#N/A</v>
      </c>
    </row>
    <row r="881" spans="36:52" ht="15" customHeight="1">
      <c r="AJ881" s="899">
        <f t="shared" si="59"/>
        <v>0</v>
      </c>
      <c r="AK881" s="899">
        <f t="shared" si="60"/>
        <v>0</v>
      </c>
      <c r="AL881" s="905">
        <f>IFERROR(INDEX(G881:R881,1,MATCH(Parametres!$B$3,G$1:R$1,0)-1)*IF(OR(F881="L",F881="S",F881="I"),-1,1),"")</f>
        <v>0</v>
      </c>
      <c r="AM881" s="905">
        <f t="shared" si="61"/>
        <v>0</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f t="shared" si="62"/>
        <v>0</v>
      </c>
      <c r="AU881" s="488">
        <f t="shared" si="63"/>
        <v>0</v>
      </c>
      <c r="AV881" s="899">
        <f>IFERROR(INDEX(V881:AG881,1,MATCH(Parametres!$B$3,V$1:AG$1,0)-1)*IF(OR(C881="L",C881="S",C881="I"),-1,1),"")</f>
        <v>0</v>
      </c>
      <c r="AW881" s="899">
        <f t="shared" si="64"/>
        <v>0</v>
      </c>
      <c r="AX881" s="899">
        <f>INDEX(V881:AG881,1,MATCH(Parametres!$B$3,V$1:AG$1,0))*IF(OR(C881="L",C881="S",C881="I"),-1,1)</f>
        <v>0</v>
      </c>
      <c r="AY881" s="487" t="s">
        <v>337</v>
      </c>
      <c r="AZ881" s="487" t="e">
        <f>+VLOOKUP($AJ881,Data_Validation!$A:$E,5,0)</f>
        <v>#N/A</v>
      </c>
    </row>
    <row r="882" spans="36:52" ht="15" customHeight="1">
      <c r="AJ882" s="899">
        <f t="shared" si="59"/>
        <v>0</v>
      </c>
      <c r="AK882" s="899">
        <f t="shared" si="60"/>
        <v>0</v>
      </c>
      <c r="AL882" s="905">
        <f>IFERROR(INDEX(G882:R882,1,MATCH(Parametres!$B$3,G$1:R$1,0)-1)*IF(OR(F882="L",F882="S",F882="I"),-1,1),"")</f>
        <v>0</v>
      </c>
      <c r="AM882" s="905">
        <f t="shared" si="61"/>
        <v>0</v>
      </c>
      <c r="AN882" s="905">
        <f>INDEX(G882:R882,1,MATCH(Parametres!$B$3,G$1:R$1,0))*IF(OR(F882="L",F882="S",F882="I"),-1,1)</f>
        <v>0</v>
      </c>
      <c r="AO882" s="487" t="e">
        <f>+VLOOKUP($AJ882,Data_Validation!$A:$D,1,0)</f>
        <v>#N/A</v>
      </c>
      <c r="AP882" s="487" t="e">
        <f>+VLOOKUP($AJ882,Data_Validation!$A:$D,3,0)</f>
        <v>#N/A</v>
      </c>
      <c r="AQ882" s="487" t="e">
        <f>+VLOOKUP($AJ882,Data_Validation!$A:$D,4,0)</f>
        <v>#N/A</v>
      </c>
      <c r="AR882" s="487" t="s">
        <v>299</v>
      </c>
      <c r="AS882" s="487" t="e">
        <f>+VLOOKUP($AJ882,Data_Validation!$A:$E,5,0)</f>
        <v>#N/A</v>
      </c>
      <c r="AT882" s="904">
        <f t="shared" si="62"/>
        <v>0</v>
      </c>
      <c r="AU882" s="488">
        <f t="shared" si="63"/>
        <v>0</v>
      </c>
      <c r="AV882" s="899">
        <f>IFERROR(INDEX(V882:AG882,1,MATCH(Parametres!$B$3,V$1:AG$1,0)-1)*IF(OR(C882="L",C882="S",C882="I"),-1,1),"")</f>
        <v>0</v>
      </c>
      <c r="AW882" s="899">
        <f t="shared" si="64"/>
        <v>0</v>
      </c>
      <c r="AX882" s="899">
        <f>INDEX(V882:AG882,1,MATCH(Parametres!$B$3,V$1:AG$1,0))*IF(OR(C882="L",C882="S",C882="I"),-1,1)</f>
        <v>0</v>
      </c>
      <c r="AY882" s="487" t="s">
        <v>337</v>
      </c>
      <c r="AZ882" s="487" t="e">
        <f>+VLOOKUP($AJ882,Data_Validation!$A:$E,5,0)</f>
        <v>#N/A</v>
      </c>
    </row>
    <row r="883" spans="36:52" ht="15" customHeight="1">
      <c r="AJ883" s="899">
        <f t="shared" si="59"/>
        <v>0</v>
      </c>
      <c r="AK883" s="899">
        <f t="shared" si="60"/>
        <v>0</v>
      </c>
      <c r="AL883" s="905">
        <f>IFERROR(INDEX(G883:R883,1,MATCH(Parametres!$B$3,G$1:R$1,0)-1)*IF(OR(F883="L",F883="S",F883="I"),-1,1),"")</f>
        <v>0</v>
      </c>
      <c r="AM883" s="905">
        <f t="shared" si="61"/>
        <v>0</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f t="shared" si="62"/>
        <v>0</v>
      </c>
      <c r="AU883" s="488">
        <f t="shared" si="63"/>
        <v>0</v>
      </c>
      <c r="AV883" s="899">
        <f>IFERROR(INDEX(V883:AG883,1,MATCH(Parametres!$B$3,V$1:AG$1,0)-1)*IF(OR(C883="L",C883="S",C883="I"),-1,1),"")</f>
        <v>0</v>
      </c>
      <c r="AW883" s="899">
        <f t="shared" si="64"/>
        <v>0</v>
      </c>
      <c r="AX883" s="899">
        <f>INDEX(V883:AG883,1,MATCH(Parametres!$B$3,V$1:AG$1,0))*IF(OR(C883="L",C883="S",C883="I"),-1,1)</f>
        <v>0</v>
      </c>
      <c r="AY883" s="487" t="s">
        <v>337</v>
      </c>
      <c r="AZ883" s="487" t="e">
        <f>+VLOOKUP($AJ883,Data_Validation!$A:$E,5,0)</f>
        <v>#N/A</v>
      </c>
    </row>
    <row r="884" spans="36:52" ht="15" customHeight="1">
      <c r="AJ884" s="899">
        <f t="shared" si="59"/>
        <v>0</v>
      </c>
      <c r="AK884" s="899">
        <f t="shared" si="60"/>
        <v>0</v>
      </c>
      <c r="AL884" s="905">
        <f>IFERROR(INDEX(G884:R884,1,MATCH(Parametres!$B$3,G$1:R$1,0)-1)*IF(OR(F884="L",F884="S",F884="I"),-1,1),"")</f>
        <v>0</v>
      </c>
      <c r="AM884" s="905">
        <f t="shared" si="61"/>
        <v>0</v>
      </c>
      <c r="AN884" s="905">
        <f>INDEX(G884:R884,1,MATCH(Parametres!$B$3,G$1:R$1,0))*IF(OR(F884="L",F884="S",F884="I"),-1,1)</f>
        <v>0</v>
      </c>
      <c r="AO884" s="487" t="e">
        <f>+VLOOKUP($AJ884,Data_Validation!$A:$D,1,0)</f>
        <v>#N/A</v>
      </c>
      <c r="AP884" s="487" t="e">
        <f>+VLOOKUP($AJ884,Data_Validation!$A:$D,3,0)</f>
        <v>#N/A</v>
      </c>
      <c r="AQ884" s="487" t="e">
        <f>+VLOOKUP($AJ884,Data_Validation!$A:$D,4,0)</f>
        <v>#N/A</v>
      </c>
      <c r="AR884" s="487" t="s">
        <v>299</v>
      </c>
      <c r="AS884" s="487" t="e">
        <f>+VLOOKUP($AJ884,Data_Validation!$A:$E,5,0)</f>
        <v>#N/A</v>
      </c>
      <c r="AT884" s="904">
        <f t="shared" si="62"/>
        <v>0</v>
      </c>
      <c r="AU884" s="488">
        <f t="shared" si="63"/>
        <v>0</v>
      </c>
      <c r="AV884" s="899">
        <f>IFERROR(INDEX(V884:AG884,1,MATCH(Parametres!$B$3,V$1:AG$1,0)-1)*IF(OR(C884="L",C884="S",C884="I"),-1,1),"")</f>
        <v>0</v>
      </c>
      <c r="AW884" s="899">
        <f t="shared" si="64"/>
        <v>0</v>
      </c>
      <c r="AX884" s="899">
        <f>INDEX(V884:AG884,1,MATCH(Parametres!$B$3,V$1:AG$1,0))*IF(OR(C884="L",C884="S",C884="I"),-1,1)</f>
        <v>0</v>
      </c>
      <c r="AY884" s="487" t="s">
        <v>337</v>
      </c>
      <c r="AZ884" s="487" t="e">
        <f>+VLOOKUP($AJ884,Data_Validation!$A:$E,5,0)</f>
        <v>#N/A</v>
      </c>
    </row>
    <row r="885" spans="36:52" ht="15" customHeight="1">
      <c r="AJ885" s="899">
        <f t="shared" si="59"/>
        <v>0</v>
      </c>
      <c r="AK885" s="899">
        <f t="shared" si="60"/>
        <v>0</v>
      </c>
      <c r="AL885" s="905">
        <f>IFERROR(INDEX(G885:R885,1,MATCH(Parametres!$B$3,G$1:R$1,0)-1)*IF(OR(F885="L",F885="S",F885="I"),-1,1),"")</f>
        <v>0</v>
      </c>
      <c r="AM885" s="905">
        <f t="shared" si="61"/>
        <v>0</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f t="shared" si="62"/>
        <v>0</v>
      </c>
      <c r="AU885" s="488">
        <f t="shared" si="63"/>
        <v>0</v>
      </c>
      <c r="AV885" s="899">
        <f>IFERROR(INDEX(V885:AG885,1,MATCH(Parametres!$B$3,V$1:AG$1,0)-1)*IF(OR(C885="L",C885="S",C885="I"),-1,1),"")</f>
        <v>0</v>
      </c>
      <c r="AW885" s="899">
        <f t="shared" si="64"/>
        <v>0</v>
      </c>
      <c r="AX885" s="899">
        <f>INDEX(V885:AG885,1,MATCH(Parametres!$B$3,V$1:AG$1,0))*IF(OR(C885="L",C885="S",C885="I"),-1,1)</f>
        <v>0</v>
      </c>
      <c r="AY885" s="487" t="s">
        <v>337</v>
      </c>
      <c r="AZ885" s="487" t="e">
        <f>+VLOOKUP($AJ885,Data_Validation!$A:$E,5,0)</f>
        <v>#N/A</v>
      </c>
    </row>
    <row r="886" spans="36:52" ht="15" customHeight="1">
      <c r="AJ886" s="899">
        <f t="shared" si="59"/>
        <v>0</v>
      </c>
      <c r="AK886" s="899">
        <f t="shared" si="60"/>
        <v>0</v>
      </c>
      <c r="AL886" s="905">
        <f>IFERROR(INDEX(G886:R886,1,MATCH(Parametres!$B$3,G$1:R$1,0)-1)*IF(OR(F886="L",F886="S",F886="I"),-1,1),"")</f>
        <v>0</v>
      </c>
      <c r="AM886" s="905">
        <f t="shared" si="61"/>
        <v>0</v>
      </c>
      <c r="AN886" s="905">
        <f>INDEX(G886:R886,1,MATCH(Parametres!$B$3,G$1:R$1,0))*IF(OR(F886="L",F886="S",F886="I"),-1,1)</f>
        <v>0</v>
      </c>
      <c r="AO886" s="487" t="e">
        <f>+VLOOKUP($AJ886,Data_Validation!$A:$D,1,0)</f>
        <v>#N/A</v>
      </c>
      <c r="AP886" s="487" t="e">
        <f>+VLOOKUP($AJ886,Data_Validation!$A:$D,3,0)</f>
        <v>#N/A</v>
      </c>
      <c r="AQ886" s="487" t="e">
        <f>+VLOOKUP($AJ886,Data_Validation!$A:$D,4,0)</f>
        <v>#N/A</v>
      </c>
      <c r="AR886" s="487" t="s">
        <v>299</v>
      </c>
      <c r="AS886" s="487" t="e">
        <f>+VLOOKUP($AJ886,Data_Validation!$A:$E,5,0)</f>
        <v>#N/A</v>
      </c>
      <c r="AT886" s="904">
        <f t="shared" si="62"/>
        <v>0</v>
      </c>
      <c r="AU886" s="488">
        <f t="shared" si="63"/>
        <v>0</v>
      </c>
      <c r="AV886" s="899">
        <f>IFERROR(INDEX(V886:AG886,1,MATCH(Parametres!$B$3,V$1:AG$1,0)-1)*IF(OR(C886="L",C886="S",C886="I"),-1,1),"")</f>
        <v>0</v>
      </c>
      <c r="AW886" s="899">
        <f t="shared" si="64"/>
        <v>0</v>
      </c>
      <c r="AX886" s="899">
        <f>INDEX(V886:AG886,1,MATCH(Parametres!$B$3,V$1:AG$1,0))*IF(OR(C886="L",C886="S",C886="I"),-1,1)</f>
        <v>0</v>
      </c>
      <c r="AY886" s="487" t="s">
        <v>337</v>
      </c>
      <c r="AZ886" s="487" t="e">
        <f>+VLOOKUP($AJ886,Data_Validation!$A:$E,5,0)</f>
        <v>#N/A</v>
      </c>
    </row>
    <row r="887" spans="36:52" ht="15" customHeight="1">
      <c r="AJ887" s="899">
        <f t="shared" si="59"/>
        <v>0</v>
      </c>
      <c r="AK887" s="899">
        <f t="shared" si="60"/>
        <v>0</v>
      </c>
      <c r="AL887" s="905">
        <f>IFERROR(INDEX(G887:R887,1,MATCH(Parametres!$B$3,G$1:R$1,0)-1)*IF(OR(F887="L",F887="S",F887="I"),-1,1),"")</f>
        <v>0</v>
      </c>
      <c r="AM887" s="905">
        <f t="shared" si="61"/>
        <v>0</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f t="shared" si="62"/>
        <v>0</v>
      </c>
      <c r="AU887" s="488">
        <f t="shared" si="63"/>
        <v>0</v>
      </c>
      <c r="AV887" s="899">
        <f>IFERROR(INDEX(V887:AG887,1,MATCH(Parametres!$B$3,V$1:AG$1,0)-1)*IF(OR(C887="L",C887="S",C887="I"),-1,1),"")</f>
        <v>0</v>
      </c>
      <c r="AW887" s="899">
        <f t="shared" si="64"/>
        <v>0</v>
      </c>
      <c r="AX887" s="899">
        <f>INDEX(V887:AG887,1,MATCH(Parametres!$B$3,V$1:AG$1,0))*IF(OR(C887="L",C887="S",C887="I"),-1,1)</f>
        <v>0</v>
      </c>
      <c r="AY887" s="487" t="s">
        <v>337</v>
      </c>
      <c r="AZ887" s="487" t="e">
        <f>+VLOOKUP($AJ887,Data_Validation!$A:$E,5,0)</f>
        <v>#N/A</v>
      </c>
    </row>
    <row r="888" spans="36:52" ht="15" customHeight="1">
      <c r="AJ888" s="899">
        <f t="shared" si="59"/>
        <v>0</v>
      </c>
      <c r="AK888" s="899">
        <f t="shared" si="60"/>
        <v>0</v>
      </c>
      <c r="AL888" s="905">
        <f>IFERROR(INDEX(G888:R888,1,MATCH(Parametres!$B$3,G$1:R$1,0)-1)*IF(OR(F888="L",F888="S",F888="I"),-1,1),"")</f>
        <v>0</v>
      </c>
      <c r="AM888" s="905">
        <f t="shared" si="61"/>
        <v>0</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f t="shared" si="62"/>
        <v>0</v>
      </c>
      <c r="AU888" s="488">
        <f t="shared" si="63"/>
        <v>0</v>
      </c>
      <c r="AV888" s="899">
        <f>IFERROR(INDEX(V888:AG888,1,MATCH(Parametres!$B$3,V$1:AG$1,0)-1)*IF(OR(C888="L",C888="S",C888="I"),-1,1),"")</f>
        <v>0</v>
      </c>
      <c r="AW888" s="899">
        <f t="shared" si="64"/>
        <v>0</v>
      </c>
      <c r="AX888" s="899">
        <f>INDEX(V888:AG888,1,MATCH(Parametres!$B$3,V$1:AG$1,0))*IF(OR(C888="L",C888="S",C888="I"),-1,1)</f>
        <v>0</v>
      </c>
      <c r="AY888" s="487" t="s">
        <v>337</v>
      </c>
      <c r="AZ888" s="487" t="e">
        <f>+VLOOKUP($AJ888,Data_Validation!$A:$E,5,0)</f>
        <v>#N/A</v>
      </c>
    </row>
    <row r="889" spans="36:52" ht="15" customHeight="1">
      <c r="AJ889" s="899">
        <f t="shared" si="59"/>
        <v>0</v>
      </c>
      <c r="AK889" s="899">
        <f t="shared" si="60"/>
        <v>0</v>
      </c>
      <c r="AL889" s="905">
        <f>IFERROR(INDEX(G889:R889,1,MATCH(Parametres!$B$3,G$1:R$1,0)-1)*IF(OR(F889="L",F889="S",F889="I"),-1,1),"")</f>
        <v>0</v>
      </c>
      <c r="AM889" s="905">
        <f t="shared" si="61"/>
        <v>0</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f t="shared" si="62"/>
        <v>0</v>
      </c>
      <c r="AU889" s="488">
        <f t="shared" si="63"/>
        <v>0</v>
      </c>
      <c r="AV889" s="899">
        <f>IFERROR(INDEX(V889:AG889,1,MATCH(Parametres!$B$3,V$1:AG$1,0)-1)*IF(OR(C889="L",C889="S",C889="I"),-1,1),"")</f>
        <v>0</v>
      </c>
      <c r="AW889" s="899">
        <f t="shared" si="64"/>
        <v>0</v>
      </c>
      <c r="AX889" s="899">
        <f>INDEX(V889:AG889,1,MATCH(Parametres!$B$3,V$1:AG$1,0))*IF(OR(C889="L",C889="S",C889="I"),-1,1)</f>
        <v>0</v>
      </c>
      <c r="AY889" s="487" t="s">
        <v>337</v>
      </c>
      <c r="AZ889" s="487" t="e">
        <f>+VLOOKUP($AJ889,Data_Validation!$A:$E,5,0)</f>
        <v>#N/A</v>
      </c>
    </row>
    <row r="890" spans="36:52" ht="15" customHeight="1">
      <c r="AJ890" s="899">
        <f t="shared" ref="AJ890:AJ899" si="65">C890</f>
        <v>0</v>
      </c>
      <c r="AK890" s="899">
        <f t="shared" ref="AK890:AK899" si="66">D890</f>
        <v>0</v>
      </c>
      <c r="AL890" s="905">
        <f>IFERROR(INDEX(G890:R890,1,MATCH(Parametres!$B$3,G$1:R$1,0)-1)*IF(OR(F890="L",F890="S",F890="I"),-1,1),"")</f>
        <v>0</v>
      </c>
      <c r="AM890" s="905">
        <f t="shared" ref="AM890:AM899" si="67">AN890-AL890</f>
        <v>0</v>
      </c>
      <c r="AN890" s="905">
        <f>INDEX(G890:R890,1,MATCH(Parametres!$B$3,G$1:R$1,0))*IF(OR(F890="L",F890="S",F890="I"),-1,1)</f>
        <v>0</v>
      </c>
      <c r="AO890" s="487" t="e">
        <f>+VLOOKUP($AJ890,Data_Validation!$A:$D,1,0)</f>
        <v>#N/A</v>
      </c>
      <c r="AP890" s="487" t="e">
        <f>+VLOOKUP($AJ890,Data_Validation!$A:$D,3,0)</f>
        <v>#N/A</v>
      </c>
      <c r="AQ890" s="487" t="e">
        <f>+VLOOKUP($AJ890,Data_Validation!$A:$D,4,0)</f>
        <v>#N/A</v>
      </c>
      <c r="AR890" s="487" t="s">
        <v>299</v>
      </c>
      <c r="AS890" s="487" t="e">
        <f>+VLOOKUP($AJ890,Data_Validation!$A:$E,5,0)</f>
        <v>#N/A</v>
      </c>
      <c r="AT890" s="904">
        <f t="shared" ref="AT890:AT899" si="68">C890</f>
        <v>0</v>
      </c>
      <c r="AU890" s="488">
        <f t="shared" ref="AU890:AU899" si="69">D890</f>
        <v>0</v>
      </c>
      <c r="AV890" s="899">
        <f>IFERROR(INDEX(V890:AG890,1,MATCH(Parametres!$B$3,V$1:AG$1,0)-1)*IF(OR(C890="L",C890="S",C890="I"),-1,1),"")</f>
        <v>0</v>
      </c>
      <c r="AW890" s="899">
        <f t="shared" ref="AW890:AW899" si="70">AX890-AV890</f>
        <v>0</v>
      </c>
      <c r="AX890" s="899">
        <f>INDEX(V890:AG890,1,MATCH(Parametres!$B$3,V$1:AG$1,0))*IF(OR(C890="L",C890="S",C890="I"),-1,1)</f>
        <v>0</v>
      </c>
      <c r="AY890" s="487" t="s">
        <v>337</v>
      </c>
      <c r="AZ890" s="487" t="e">
        <f>+VLOOKUP($AJ890,Data_Validation!$A:$E,5,0)</f>
        <v>#N/A</v>
      </c>
    </row>
    <row r="891" spans="36:52" ht="15" customHeight="1">
      <c r="AJ891" s="899">
        <f t="shared" si="65"/>
        <v>0</v>
      </c>
      <c r="AK891" s="899">
        <f t="shared" si="66"/>
        <v>0</v>
      </c>
      <c r="AL891" s="905">
        <f>IFERROR(INDEX(G891:R891,1,MATCH(Parametres!$B$3,G$1:R$1,0)-1)*IF(OR(F891="L",F891="S",F891="I"),-1,1),"")</f>
        <v>0</v>
      </c>
      <c r="AM891" s="905">
        <f t="shared" si="67"/>
        <v>0</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f t="shared" si="68"/>
        <v>0</v>
      </c>
      <c r="AU891" s="488">
        <f t="shared" si="69"/>
        <v>0</v>
      </c>
      <c r="AV891" s="899">
        <f>IFERROR(INDEX(V891:AG891,1,MATCH(Parametres!$B$3,V$1:AG$1,0)-1)*IF(OR(C891="L",C891="S",C891="I"),-1,1),"")</f>
        <v>0</v>
      </c>
      <c r="AW891" s="899">
        <f t="shared" si="70"/>
        <v>0</v>
      </c>
      <c r="AX891" s="899">
        <f>INDEX(V891:AG891,1,MATCH(Parametres!$B$3,V$1:AG$1,0))*IF(OR(C891="L",C891="S",C891="I"),-1,1)</f>
        <v>0</v>
      </c>
      <c r="AY891" s="487" t="s">
        <v>337</v>
      </c>
      <c r="AZ891" s="487" t="e">
        <f>+VLOOKUP($AJ891,Data_Validation!$A:$E,5,0)</f>
        <v>#N/A</v>
      </c>
    </row>
    <row r="892" spans="36:52" ht="15" customHeight="1">
      <c r="AJ892" s="899">
        <f t="shared" si="65"/>
        <v>0</v>
      </c>
      <c r="AK892" s="899">
        <f t="shared" si="66"/>
        <v>0</v>
      </c>
      <c r="AL892" s="905">
        <f>IFERROR(INDEX(G892:R892,1,MATCH(Parametres!$B$3,G$1:R$1,0)-1)*IF(OR(F892="L",F892="S",F892="I"),-1,1),"")</f>
        <v>0</v>
      </c>
      <c r="AM892" s="905">
        <f t="shared" si="67"/>
        <v>0</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f t="shared" si="68"/>
        <v>0</v>
      </c>
      <c r="AU892" s="488">
        <f t="shared" si="69"/>
        <v>0</v>
      </c>
      <c r="AV892" s="899">
        <f>IFERROR(INDEX(V892:AG892,1,MATCH(Parametres!$B$3,V$1:AG$1,0)-1)*IF(OR(C892="L",C892="S",C892="I"),-1,1),"")</f>
        <v>0</v>
      </c>
      <c r="AW892" s="899">
        <f t="shared" si="70"/>
        <v>0</v>
      </c>
      <c r="AX892" s="899">
        <f>INDEX(V892:AG892,1,MATCH(Parametres!$B$3,V$1:AG$1,0))*IF(OR(C892="L",C892="S",C892="I"),-1,1)</f>
        <v>0</v>
      </c>
      <c r="AY892" s="487" t="s">
        <v>337</v>
      </c>
      <c r="AZ892" s="487" t="e">
        <f>+VLOOKUP($AJ892,Data_Validation!$A:$E,5,0)</f>
        <v>#N/A</v>
      </c>
    </row>
    <row r="893" spans="36:52" ht="15" customHeight="1">
      <c r="AJ893" s="899">
        <f t="shared" si="65"/>
        <v>0</v>
      </c>
      <c r="AK893" s="899">
        <f t="shared" si="66"/>
        <v>0</v>
      </c>
      <c r="AL893" s="905">
        <f>IFERROR(INDEX(G893:R893,1,MATCH(Parametres!$B$3,G$1:R$1,0)-1)*IF(OR(F893="L",F893="S",F893="I"),-1,1),"")</f>
        <v>0</v>
      </c>
      <c r="AM893" s="905">
        <f t="shared" si="67"/>
        <v>0</v>
      </c>
      <c r="AN893" s="905">
        <f>INDEX(G893:R893,1,MATCH(Parametres!$B$3,G$1:R$1,0))*IF(OR(F893="L",F893="S",F893="I"),-1,1)</f>
        <v>0</v>
      </c>
      <c r="AO893" s="487" t="e">
        <f>+VLOOKUP($AJ893,Data_Validation!$A:$D,1,0)</f>
        <v>#N/A</v>
      </c>
      <c r="AP893" s="487" t="e">
        <f>+VLOOKUP($AJ893,Data_Validation!$A:$D,3,0)</f>
        <v>#N/A</v>
      </c>
      <c r="AQ893" s="487" t="e">
        <f>+VLOOKUP($AJ893,Data_Validation!$A:$D,4,0)</f>
        <v>#N/A</v>
      </c>
      <c r="AR893" s="487" t="s">
        <v>299</v>
      </c>
      <c r="AS893" s="487" t="e">
        <f>+VLOOKUP($AJ893,Data_Validation!$A:$E,5,0)</f>
        <v>#N/A</v>
      </c>
      <c r="AT893" s="904">
        <f t="shared" si="68"/>
        <v>0</v>
      </c>
      <c r="AU893" s="488">
        <f t="shared" si="69"/>
        <v>0</v>
      </c>
      <c r="AV893" s="899">
        <f>IFERROR(INDEX(V893:AG893,1,MATCH(Parametres!$B$3,V$1:AG$1,0)-1)*IF(OR(C893="L",C893="S",C893="I"),-1,1),"")</f>
        <v>0</v>
      </c>
      <c r="AW893" s="899">
        <f t="shared" si="70"/>
        <v>0</v>
      </c>
      <c r="AX893" s="899">
        <f>INDEX(V893:AG893,1,MATCH(Parametres!$B$3,V$1:AG$1,0))*IF(OR(C893="L",C893="S",C893="I"),-1,1)</f>
        <v>0</v>
      </c>
      <c r="AY893" s="487" t="s">
        <v>337</v>
      </c>
      <c r="AZ893" s="487" t="e">
        <f>+VLOOKUP($AJ893,Data_Validation!$A:$E,5,0)</f>
        <v>#N/A</v>
      </c>
    </row>
    <row r="894" spans="36:52" ht="15" customHeight="1">
      <c r="AJ894" s="899">
        <f t="shared" si="65"/>
        <v>0</v>
      </c>
      <c r="AK894" s="899">
        <f t="shared" si="66"/>
        <v>0</v>
      </c>
      <c r="AL894" s="905">
        <f>IFERROR(INDEX(G894:R894,1,MATCH(Parametres!$B$3,G$1:R$1,0)-1)*IF(OR(F894="L",F894="S",F894="I"),-1,1),"")</f>
        <v>0</v>
      </c>
      <c r="AM894" s="905">
        <f t="shared" si="67"/>
        <v>0</v>
      </c>
      <c r="AN894" s="905">
        <f>INDEX(G894:R894,1,MATCH(Parametres!$B$3,G$1:R$1,0))*IF(OR(F894="L",F894="S",F894="I"),-1,1)</f>
        <v>0</v>
      </c>
      <c r="AO894" s="487" t="e">
        <f>+VLOOKUP($AJ894,Data_Validation!$A:$D,1,0)</f>
        <v>#N/A</v>
      </c>
      <c r="AP894" s="487" t="e">
        <f>+VLOOKUP($AJ894,Data_Validation!$A:$D,3,0)</f>
        <v>#N/A</v>
      </c>
      <c r="AQ894" s="487" t="e">
        <f>+VLOOKUP($AJ894,Data_Validation!$A:$D,4,0)</f>
        <v>#N/A</v>
      </c>
      <c r="AR894" s="487" t="s">
        <v>299</v>
      </c>
      <c r="AS894" s="487" t="e">
        <f>+VLOOKUP($AJ894,Data_Validation!$A:$E,5,0)</f>
        <v>#N/A</v>
      </c>
      <c r="AT894" s="904">
        <f t="shared" si="68"/>
        <v>0</v>
      </c>
      <c r="AU894" s="488">
        <f t="shared" si="69"/>
        <v>0</v>
      </c>
      <c r="AV894" s="899">
        <f>IFERROR(INDEX(V894:AG894,1,MATCH(Parametres!$B$3,V$1:AG$1,0)-1)*IF(OR(C894="L",C894="S",C894="I"),-1,1),"")</f>
        <v>0</v>
      </c>
      <c r="AW894" s="899">
        <f t="shared" si="70"/>
        <v>0</v>
      </c>
      <c r="AX894" s="899">
        <f>INDEX(V894:AG894,1,MATCH(Parametres!$B$3,V$1:AG$1,0))*IF(OR(C894="L",C894="S",C894="I"),-1,1)</f>
        <v>0</v>
      </c>
      <c r="AY894" s="487" t="s">
        <v>337</v>
      </c>
      <c r="AZ894" s="487" t="e">
        <f>+VLOOKUP($AJ894,Data_Validation!$A:$E,5,0)</f>
        <v>#N/A</v>
      </c>
    </row>
    <row r="895" spans="36:52" ht="15" customHeight="1">
      <c r="AJ895" s="899">
        <f t="shared" si="65"/>
        <v>0</v>
      </c>
      <c r="AK895" s="899">
        <f t="shared" si="66"/>
        <v>0</v>
      </c>
      <c r="AL895" s="905">
        <f>IFERROR(INDEX(G895:R895,1,MATCH(Parametres!$B$3,G$1:R$1,0)-1)*IF(OR(F895="L",F895="S",F895="I"),-1,1),"")</f>
        <v>0</v>
      </c>
      <c r="AM895" s="905">
        <f t="shared" si="67"/>
        <v>0</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f t="shared" si="68"/>
        <v>0</v>
      </c>
      <c r="AU895" s="488">
        <f t="shared" si="69"/>
        <v>0</v>
      </c>
      <c r="AV895" s="899">
        <f>IFERROR(INDEX(V895:AG895,1,MATCH(Parametres!$B$3,V$1:AG$1,0)-1)*IF(OR(C895="L",C895="S",C895="I"),-1,1),"")</f>
        <v>0</v>
      </c>
      <c r="AW895" s="899">
        <f t="shared" si="70"/>
        <v>0</v>
      </c>
      <c r="AX895" s="899">
        <f>INDEX(V895:AG895,1,MATCH(Parametres!$B$3,V$1:AG$1,0))*IF(OR(C895="L",C895="S",C895="I"),-1,1)</f>
        <v>0</v>
      </c>
      <c r="AY895" s="487" t="s">
        <v>337</v>
      </c>
      <c r="AZ895" s="487" t="e">
        <f>+VLOOKUP($AJ895,Data_Validation!$A:$E,5,0)</f>
        <v>#N/A</v>
      </c>
    </row>
    <row r="896" spans="36:52" ht="15" customHeight="1">
      <c r="AJ896" s="899">
        <f t="shared" si="65"/>
        <v>0</v>
      </c>
      <c r="AK896" s="899">
        <f t="shared" si="66"/>
        <v>0</v>
      </c>
      <c r="AL896" s="905">
        <f>IFERROR(INDEX(G896:R896,1,MATCH(Parametres!$B$3,G$1:R$1,0)-1)*IF(OR(F896="L",F896="S",F896="I"),-1,1),"")</f>
        <v>0</v>
      </c>
      <c r="AM896" s="905">
        <f t="shared" si="67"/>
        <v>0</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f t="shared" si="68"/>
        <v>0</v>
      </c>
      <c r="AU896" s="488">
        <f t="shared" si="69"/>
        <v>0</v>
      </c>
      <c r="AV896" s="899">
        <f>IFERROR(INDEX(V896:AG896,1,MATCH(Parametres!$B$3,V$1:AG$1,0)-1)*IF(OR(C896="L",C896="S",C896="I"),-1,1),"")</f>
        <v>0</v>
      </c>
      <c r="AW896" s="899">
        <f t="shared" si="70"/>
        <v>0</v>
      </c>
      <c r="AX896" s="899">
        <f>INDEX(V896:AG896,1,MATCH(Parametres!$B$3,V$1:AG$1,0))*IF(OR(C896="L",C896="S",C896="I"),-1,1)</f>
        <v>0</v>
      </c>
      <c r="AY896" s="487" t="s">
        <v>337</v>
      </c>
      <c r="AZ896" s="487" t="e">
        <f>+VLOOKUP($AJ896,Data_Validation!$A:$E,5,0)</f>
        <v>#N/A</v>
      </c>
    </row>
    <row r="897" spans="36:52" ht="15" customHeight="1">
      <c r="AJ897" s="899">
        <f t="shared" si="65"/>
        <v>0</v>
      </c>
      <c r="AK897" s="899">
        <f t="shared" si="66"/>
        <v>0</v>
      </c>
      <c r="AL897" s="905">
        <f>IFERROR(INDEX(G897:R897,1,MATCH(Parametres!$B$3,G$1:R$1,0)-1)*IF(OR(F897="L",F897="S",F897="I"),-1,1),"")</f>
        <v>0</v>
      </c>
      <c r="AM897" s="905">
        <f t="shared" si="67"/>
        <v>0</v>
      </c>
      <c r="AN897" s="905">
        <f>INDEX(G897:R897,1,MATCH(Parametres!$B$3,G$1:R$1,0))*IF(OR(F897="L",F897="S",F897="I"),-1,1)</f>
        <v>0</v>
      </c>
      <c r="AO897" s="487" t="e">
        <f>+VLOOKUP($AJ897,Data_Validation!$A:$D,1,0)</f>
        <v>#N/A</v>
      </c>
      <c r="AP897" s="487" t="e">
        <f>+VLOOKUP($AJ897,Data_Validation!$A:$D,3,0)</f>
        <v>#N/A</v>
      </c>
      <c r="AQ897" s="487" t="e">
        <f>+VLOOKUP($AJ897,Data_Validation!$A:$D,4,0)</f>
        <v>#N/A</v>
      </c>
      <c r="AR897" s="487" t="s">
        <v>299</v>
      </c>
      <c r="AS897" s="487" t="e">
        <f>+VLOOKUP($AJ897,Data_Validation!$A:$E,5,0)</f>
        <v>#N/A</v>
      </c>
      <c r="AT897" s="904">
        <f t="shared" si="68"/>
        <v>0</v>
      </c>
      <c r="AU897" s="488">
        <f t="shared" si="69"/>
        <v>0</v>
      </c>
      <c r="AV897" s="899">
        <f>IFERROR(INDEX(V897:AG897,1,MATCH(Parametres!$B$3,V$1:AG$1,0)-1)*IF(OR(C897="L",C897="S",C897="I"),-1,1),"")</f>
        <v>0</v>
      </c>
      <c r="AW897" s="899">
        <f t="shared" si="70"/>
        <v>0</v>
      </c>
      <c r="AX897" s="899">
        <f>INDEX(V897:AG897,1,MATCH(Parametres!$B$3,V$1:AG$1,0))*IF(OR(C897="L",C897="S",C897="I"),-1,1)</f>
        <v>0</v>
      </c>
      <c r="AY897" s="487" t="s">
        <v>337</v>
      </c>
      <c r="AZ897" s="487" t="e">
        <f>+VLOOKUP($AJ897,Data_Validation!$A:$E,5,0)</f>
        <v>#N/A</v>
      </c>
    </row>
    <row r="898" spans="36:52" ht="15" customHeight="1">
      <c r="AJ898" s="899">
        <f t="shared" si="65"/>
        <v>0</v>
      </c>
      <c r="AK898" s="899">
        <f t="shared" si="66"/>
        <v>0</v>
      </c>
      <c r="AL898" s="905">
        <f>IFERROR(INDEX(G898:R898,1,MATCH(Parametres!$B$3,G$1:R$1,0)-1)*IF(OR(F898="L",F898="S",F898="I"),-1,1),"")</f>
        <v>0</v>
      </c>
      <c r="AM898" s="905">
        <f t="shared" si="67"/>
        <v>0</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f t="shared" si="68"/>
        <v>0</v>
      </c>
      <c r="AU898" s="488">
        <f t="shared" si="69"/>
        <v>0</v>
      </c>
      <c r="AV898" s="899">
        <f>IFERROR(INDEX(V898:AG898,1,MATCH(Parametres!$B$3,V$1:AG$1,0)-1)*IF(OR(C898="L",C898="S",C898="I"),-1,1),"")</f>
        <v>0</v>
      </c>
      <c r="AW898" s="899">
        <f t="shared" si="70"/>
        <v>0</v>
      </c>
      <c r="AX898" s="899">
        <f>INDEX(V898:AG898,1,MATCH(Parametres!$B$3,V$1:AG$1,0))*IF(OR(C898="L",C898="S",C898="I"),-1,1)</f>
        <v>0</v>
      </c>
      <c r="AY898" s="487" t="s">
        <v>337</v>
      </c>
      <c r="AZ898" s="487" t="e">
        <f>+VLOOKUP($AJ898,Data_Validation!$A:$E,5,0)</f>
        <v>#N/A</v>
      </c>
    </row>
    <row r="899" spans="36:52" ht="15" customHeight="1">
      <c r="AJ899" s="899">
        <f t="shared" si="65"/>
        <v>0</v>
      </c>
      <c r="AK899" s="899">
        <f t="shared" si="66"/>
        <v>0</v>
      </c>
      <c r="AL899" s="905">
        <f>IFERROR(INDEX(G899:R899,1,MATCH(Parametres!$B$3,G$1:R$1,0)-1)*IF(OR(F899="L",F899="S",F899="I"),-1,1),"")</f>
        <v>0</v>
      </c>
      <c r="AM899" s="905">
        <f t="shared" si="67"/>
        <v>0</v>
      </c>
      <c r="AN899" s="905">
        <f>INDEX(G899:R899,1,MATCH(Parametres!$B$3,G$1:R$1,0))*IF(OR(F899="L",F899="S",F899="I"),-1,1)</f>
        <v>0</v>
      </c>
      <c r="AO899" s="487" t="e">
        <f>+VLOOKUP($AJ899,Data_Validation!$A:$D,1,0)</f>
        <v>#N/A</v>
      </c>
      <c r="AP899" s="487" t="e">
        <f>+VLOOKUP($AJ899,Data_Validation!$A:$D,3,0)</f>
        <v>#N/A</v>
      </c>
      <c r="AQ899" s="487" t="e">
        <f>+VLOOKUP($AJ899,Data_Validation!$A:$D,4,0)</f>
        <v>#N/A</v>
      </c>
      <c r="AR899" s="487" t="s">
        <v>299</v>
      </c>
      <c r="AS899" s="487" t="e">
        <f>+VLOOKUP($AJ899,Data_Validation!$A:$E,5,0)</f>
        <v>#N/A</v>
      </c>
      <c r="AT899" s="904">
        <f t="shared" si="68"/>
        <v>0</v>
      </c>
      <c r="AU899" s="488">
        <f t="shared" si="69"/>
        <v>0</v>
      </c>
      <c r="AV899" s="899">
        <f>IFERROR(INDEX(V899:AG899,1,MATCH(Parametres!$B$3,V$1:AG$1,0)-1)*IF(OR(C899="L",C899="S",C899="I"),-1,1),"")</f>
        <v>0</v>
      </c>
      <c r="AW899" s="899">
        <f t="shared" si="70"/>
        <v>0</v>
      </c>
      <c r="AX899" s="899">
        <f>INDEX(V899:AG899,1,MATCH(Parametres!$B$3,V$1:AG$1,0))*IF(OR(C899="L",C899="S",C899="I"),-1,1)</f>
        <v>0</v>
      </c>
      <c r="AY899" s="487" t="s">
        <v>337</v>
      </c>
      <c r="AZ899" s="487" t="e">
        <f>+VLOOKUP($AJ899,Data_Validation!$A:$E,5,0)</f>
        <v>#N/A</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2026-06-17T03:00:15Z</dcterms:modified>
</cp:coreProperties>
</file>