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5E363FFE-E927-4748-ACA1-E70ED74BB430}" xr6:coauthVersionLast="47" xr6:coauthVersionMax="47" xr10:uidLastSave="{00000000-0000-0000-0000-000000000000}"/>
  <bookViews>
    <workbookView xWindow="-108" yWindow="-108" windowWidth="23256" windowHeight="13896" tabRatio="916" activeTab="9"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Data_Validation!$A$1:$E$1391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F587" i="12" l="1"/>
  <c r="AX780" i="15" l="1"/>
  <c r="AV780" i="15"/>
  <c r="AU780" i="15"/>
  <c r="AT780" i="15"/>
  <c r="AX711" i="15"/>
  <c r="AV711" i="15"/>
  <c r="AU711" i="15"/>
  <c r="AT711" i="15"/>
  <c r="AW780" i="15" l="1"/>
  <c r="AW711" i="15"/>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80" i="15" l="1"/>
  <c r="AS780" i="15"/>
  <c r="AO780" i="15"/>
  <c r="AZ711" i="15"/>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AF581" i="12" l="1"/>
  <c r="L467" i="9"/>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AO582" i="12" l="1"/>
  <c r="AL585" i="12"/>
  <c r="P372" i="12"/>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J27" i="12" s="1"/>
  <c r="P9" i="12"/>
  <c r="E188" i="9"/>
  <c r="E191" i="9"/>
  <c r="E187"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AN561" i="12" l="1"/>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75" i="12"/>
  <c r="AK575" i="12" s="1"/>
  <c r="Y585" i="9"/>
  <c r="Y570" i="12"/>
  <c r="AK570" i="12"/>
  <c r="AJ494" i="12"/>
  <c r="Y576" i="12"/>
  <c r="AK576" i="12"/>
  <c r="G73" i="8"/>
  <c r="I73" i="8" s="1"/>
  <c r="AF576" i="9"/>
  <c r="G71" i="8"/>
  <c r="I71" i="8" s="1"/>
  <c r="G62" i="8"/>
  <c r="I62" i="8" s="1"/>
  <c r="AE570" i="9"/>
  <c r="C74" i="8"/>
  <c r="AF576" i="12"/>
  <c r="AF585" i="12" s="1"/>
  <c r="AF589" i="12" s="1"/>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<sst xmlns="http://schemas.openxmlformats.org/spreadsheetml/2006/main" count="17297" uniqueCount="3161">
  <si>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</si>
  <si>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</si>
  <si>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</si>
  <si>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</si>
  <si>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</si>
  <si>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</si>
  <si>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</si>
  <si>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</si>
  <si>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</si>
  <si>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</si>
  <si>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</si>
  <si>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</si>
  <si>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</si>
  <si>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</si>
  <si>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</si>
  <si>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</si>
  <si>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</si>
  <si>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</si>
  <si>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</si>
  <si>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</si>
  <si>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</si>
  <si>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</si>
  <si>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</si>
  <si>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</si>
  <si>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</si>
  <si>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</si>
  <si>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</si>
  <si>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</si>
  <si>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</si>
  <si>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</si>
  <si>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</si>
  <si>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</si>
  <si>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</si>
  <si>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</si>
  <si>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</si>
  <si>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</si>
  <si>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</si>
  <si>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</si>
  <si>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</si>
  <si>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</si>
  <si>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</si>
  <si>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</si>
  <si>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</si>
  <si>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</si>
  <si>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</si>
  <si>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</si>
  <si>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</si>
  <si>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</si>
  <si>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</si>
  <si>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</si>
  <si>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</si>
  <si>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</si>
  <si>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</si>
  <si>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</si>
  <si>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</si>
  <si>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</si>
  <si>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</si>
  <si>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</si>
  <si>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</si>
  <si>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</si>
  <si>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</si>
  <si>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</si>
  <si>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</si>
  <si>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</si>
  <si>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</si>
  <si>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</si>
  <si>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</si>
  <si>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</si>
  <si>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</si>
  <si>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</si>
  <si>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</si>
  <si>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</si>
  <si>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</si>
  <si>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</si>
  <si>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</si>
  <si>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</si>
  <si>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</si>
  <si>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</si>
  <si>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</si>
  <si>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</si>
  <si>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</si>
  <si>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</si>
  <si>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</si>
  <si>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</si>
  <si>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</si>
  <si>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</si>
  <si>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</si>
  <si>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</si>
  <si>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</si>
  <si>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</si>
  <si>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</si>
  <si>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</si>
  <si>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</si>
  <si>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</si>
  <si>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</si>
  <si>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</si>
  <si>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</si>
  <si>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</si>
  <si>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</si>
  <si>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</si>
  <si>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</si>
  <si>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</si>
  <si>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</si>
  <si>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</si>
  <si>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</si>
  <si>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</si>
  <si>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</si>
  <si>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</si>
  <si>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</si>
  <si>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</si>
  <si>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</si>
  <si>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</si>
  <si>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</si>
  <si>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</si>
  <si>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</si>
  <si>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</si>
  <si>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</si>
  <si>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</si>
  <si>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</si>
  <si>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</si>
  <si>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</si>
  <si>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</si>
  <si>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</si>
  <si>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</si>
  <si>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</si>
  <si>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</si>
  <si>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</si>
  <si>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</si>
  <si>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</si>
  <si>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</si>
  <si>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</si>
  <si>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</si>
  <si>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</si>
  <si>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</si>
  <si>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</si>
  <si>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</si>
  <si>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</si>
  <si>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</si>
  <si>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</si>
  <si>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</si>
  <si>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</si>
  <si>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</si>
  <si>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</si>
  <si>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</si>
  <si>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</si>
  <si>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</si>
  <si>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</si>
  <si>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</si>
  <si>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</si>
  <si>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</si>
  <si>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</si>
  <si>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</si>
  <si>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</si>
  <si>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</si>
  <si>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</si>
  <si>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</si>
  <si>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</si>
  <si>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</si>
  <si>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</si>
  <si>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</si>
  <si>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</si>
  <si>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</si>
  <si>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</si>
  <si>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</si>
  <si>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</si>
  <si>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</si>
  <si>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</si>
  <si>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</si>
  <si>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</si>
  <si>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</si>
  <si>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</si>
  <si>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</si>
  <si>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</si>
  <si>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</si>
  <si>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</si>
  <si>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</si>
  <si>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</si>
  <si>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</si>
  <si>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</si>
  <si>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</si>
  <si>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</si>
  <si>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</si>
  <si>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</si>
  <si>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</si>
  <si>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</si>
  <si>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</si>
  <si>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</si>
  <si>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</si>
  <si>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</si>
  <si>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</si>
  <si>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</si>
  <si>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</si>
  <si>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</si>
  <si>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</si>
  <si>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</si>
  <si>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</si>
  <si>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</si>
  <si>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</si>
  <si>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</si>
  <si>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</si>
  <si>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</si>
  <si>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</si>
  <si>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</si>
  <si>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</si>
  <si>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</si>
  <si>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</si>
  <si>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</si>
  <si>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</si>
  <si>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</si>
  <si>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</si>
  <si>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</si>
  <si>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</si>
  <si>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</si>
  <si>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</si>
  <si>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</si>
  <si>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</si>
  <si>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</si>
  <si>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</si>
  <si>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</si>
  <si>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</si>
  <si>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</si>
  <si>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</si>
  <si>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</si>
  <si>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</si>
  <si>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</si>
  <si>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</si>
  <si>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</si>
  <si>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</si>
  <si>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</si>
  <si>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</si>
  <si>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</si>
  <si>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</si>
  <si>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</si>
  <si>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</si>
  <si>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</si>
  <si>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</si>
  <si>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</si>
  <si>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</si>
  <si>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</si>
  <si>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</si>
  <si>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</si>
  <si>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</si>
  <si>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</si>
  <si>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</si>
  <si>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</si>
  <si>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</si>
  <si>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</si>
  <si>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</si>
  <si>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</si>
  <si>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</si>
  <si>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</si>
  <si>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</si>
  <si>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</si>
  <si>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</si>
  <si>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</si>
  <si>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</si>
  <si>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</si>
  <si>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</si>
  <si>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</si>
  <si>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</si>
  <si>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</si>
  <si>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</si>
  <si>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</si>
  <si>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</si>
  <si>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</si>
  <si>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</si>
  <si>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</si>
  <si>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</si>
  <si>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</si>
  <si>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</si>
  <si>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</si>
  <si>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</si>
  <si>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</si>
  <si>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</si>
  <si>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</si>
  <si>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</si>
  <si>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</si>
  <si>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</si>
  <si>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</si>
  <si>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</si>
  <si>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</si>
  <si>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</si>
  <si>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</si>
  <si>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</si>
  <si>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</si>
  <si>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</si>
  <si>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</si>
  <si>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</si>
  <si>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</si>
  <si>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</si>
  <si>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</si>
  <si>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</si>
  <si>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</si>
  <si>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</si>
  <si>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</si>
  <si>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</si>
  <si>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</si>
  <si>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</si>
  <si>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</si>
  <si>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</si>
  <si>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</si>
  <si>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</si>
  <si>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</si>
  <si>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</si>
  <si>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</si>
  <si>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</si>
  <si>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</si>
  <si>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</si>
  <si>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</si>
  <si>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</si>
  <si>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</si>
  <si>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</si>
  <si>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</si>
  <si>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</si>
  <si>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</si>
  <si>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</si>
  <si>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</si>
  <si>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</si>
  <si>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</si>
  <si>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</si>
  <si>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</si>
  <si>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</si>
  <si>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</si>
  <si>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</si>
  <si>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</si>
  <si>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</si>
  <si>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</si>
  <si>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</si>
  <si>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</si>
  <si>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</si>
  <si>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</si>
  <si>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</si>
  <si>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</si>
  <si>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</si>
  <si>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</si>
  <si>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</si>
  <si>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</si>
  <si>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</si>
  <si>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</si>
  <si>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</si>
  <si>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</si>
  <si>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</si>
  <si>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</si>
  <si>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</si>
  <si>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</si>
  <si>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</si>
  <si>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</si>
  <si>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</si>
  <si>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</si>
  <si>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</si>
  <si>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</si>
  <si>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</si>
  <si>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</si>
  <si>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</si>
  <si>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</si>
  <si>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</si>
  <si>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</si>
  <si>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</si>
  <si>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</si>
  <si>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</si>
  <si>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</si>
  <si>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</si>
  <si>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</si>
  <si>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</si>
  <si>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</si>
  <si>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</si>
  <si>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</si>
  <si>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</si>
  <si>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</si>
  <si>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</si>
  <si>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</si>
  <si>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</si>
  <si>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</si>
  <si>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</si>
  <si>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</si>
  <si>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</si>
  <si>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</si>
  <si>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</si>
  <si>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</si>
  <si>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</si>
  <si>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</si>
  <si>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</si>
  <si>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</si>
  <si>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</si>
  <si>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</si>
  <si>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</si>
  <si>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</si>
  <si>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</si>
  <si>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</si>
  <si>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</si>
  <si>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</si>
  <si>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</si>
  <si>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</si>
  <si>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</si>
  <si>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</si>
  <si>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</si>
  <si>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</si>
  <si>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</si>
  <si>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</si>
  <si>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</si>
  <si>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</si>
  <si>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</si>
  <si>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</si>
  <si>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</si>
  <si>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</si>
  <si>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</si>
  <si>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</si>
  <si>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</si>
  <si>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</si>
  <si>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</si>
  <si>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</si>
  <si>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</si>
  <si>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</si>
  <si>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</si>
  <si>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</si>
  <si>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</si>
  <si>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</si>
  <si>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</si>
  <si>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</si>
  <si>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</si>
  <si>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</si>
  <si>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</si>
  <si>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</si>
  <si>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</si>
  <si>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</si>
  <si>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</si>
  <si>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</si>
  <si>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</si>
  <si>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</si>
  <si>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</si>
  <si>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</si>
  <si>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</si>
  <si>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</si>
  <si>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</si>
  <si>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</si>
  <si>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</si>
  <si>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</si>
  <si>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</si>
  <si>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</si>
  <si>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</si>
  <si>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</si>
  <si>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</si>
  <si>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</si>
  <si>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</si>
  <si>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</si>
  <si>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</si>
  <si>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</si>
  <si>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</si>
  <si>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</si>
  <si>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</si>
  <si>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</si>
  <si>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</si>
  <si>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</si>
  <si>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</si>
  <si>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</si>
  <si>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</si>
  <si>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</si>
  <si>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</si>
  <si>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</si>
  <si>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</si>
  <si>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</si>
  <si>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</si>
  <si>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</si>
  <si>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</si>
  <si>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</si>
  <si>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</si>
  <si>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</si>
  <si>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</si>
  <si>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</si>
  <si>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</si>
  <si>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</si>
  <si>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</si>
  <si>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</si>
  <si>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</si>
  <si>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</si>
  <si>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</si>
  <si>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</si>
  <si>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</si>
  <si>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</si>
  <si>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</si>
  <si>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</si>
  <si>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</si>
  <si>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</si>
  <si>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</si>
  <si>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</si>
  <si>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</si>
  <si>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</si>
  <si>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</si>
  <si>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</si>
  <si>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</si>
  <si>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</si>
  <si>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</si>
  <si>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</si>
  <si>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</si>
  <si>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</si>
  <si>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</si>
  <si>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</si>
  <si>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</si>
  <si>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</si>
  <si>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</si>
  <si>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</si>
  <si>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</si>
  <si>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</si>
  <si>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</si>
  <si>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</si>
  <si>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</si>
  <si>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</si>
  <si>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</si>
  <si>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</si>
  <si>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</si>
  <si>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</si>
  <si>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</si>
  <si>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</si>
  <si>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</si>
  <si>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</si>
  <si>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</si>
  <si>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</si>
  <si>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</si>
  <si>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</si>
  <si>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</si>
  <si>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</si>
  <si>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</si>
  <si>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</si>
  <si>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</si>
  <si>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</si>
  <si>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</si>
  <si>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</si>
  <si>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</si>
  <si>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</si>
  <si>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</si>
  <si>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</si>
  <si>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</si>
  <si>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</si>
  <si>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</si>
  <si>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</si>
  <si>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</si>
  <si>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</si>
  <si>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</si>
  <si>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</si>
  <si>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</si>
  <si>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</si>
  <si>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</si>
  <si>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</si>
  <si>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</si>
  <si>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</si>
  <si>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</si>
  <si>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</si>
  <si>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</si>
  <si>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</si>
  <si>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</si>
  <si>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</si>
  <si>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</si>
  <si>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</si>
  <si>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</si>
  <si>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</si>
  <si>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</si>
  <si>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</si>
  <si>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</si>
  <si>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</si>
  <si>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</si>
  <si>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</si>
  <si>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</si>
  <si>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</si>
  <si>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</si>
  <si>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</si>
  <si>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</si>
  <si>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</si>
  <si>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</si>
  <si>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</si>
  <si>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</si>
  <si>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</si>
  <si>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</si>
  <si>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</si>
  <si>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</si>
  <si>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</si>
  <si>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</si>
  <si>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</si>
  <si>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</si>
  <si>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</si>
  <si>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</si>
  <si>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</si>
  <si>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</si>
  <si>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</si>
  <si>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</si>
  <si>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</si>
  <si>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</si>
  <si>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</si>
  <si>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</si>
  <si>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</si>
  <si>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</si>
  <si>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</si>
  <si>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</si>
  <si>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</si>
  <si>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</si>
  <si>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</si>
  <si>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</si>
  <si>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</si>
  <si>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</si>
  <si>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</si>
  <si>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</si>
  <si>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</si>
  <si>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</si>
  <si>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</si>
  <si>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</si>
  <si>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</si>
  <si>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</si>
  <si>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</si>
  <si>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</si>
  <si>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</si>
  <si>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</si>
  <si>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</si>
  <si>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</si>
  <si>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</si>
  <si>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</si>
  <si>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</si>
  <si>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</si>
  <si>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</si>
  <si>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</si>
  <si>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</si>
  <si>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</si>
  <si>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</si>
  <si>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</si>
  <si>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</si>
  <si>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</si>
  <si>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</si>
  <si>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</si>
  <si>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</si>
  <si>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</si>
  <si>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</si>
  <si>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</si>
  <si>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</si>
  <si>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</si>
  <si>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</si>
  <si>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</si>
  <si>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</si>
  <si>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</si>
  <si>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</si>
  <si>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</si>
  <si>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</si>
  <si>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</si>
  <si>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</si>
  <si>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</si>
  <si>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</si>
  <si>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</si>
  <si>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</si>
  <si>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</si>
  <si>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</si>
  <si>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</si>
  <si>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</si>
  <si>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</si>
  <si>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</si>
  <si>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</si>
  <si>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</si>
  <si>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</si>
  <si>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</si>
  <si>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</si>
  <si>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</si>
  <si>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</si>
  <si>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</si>
  <si>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</si>
  <si>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</si>
  <si>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</si>
  <si>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</si>
  <si>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</si>
  <si>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</si>
  <si>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</si>
  <si>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</si>
  <si>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</si>
  <si>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</si>
  <si>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</si>
  <si>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</si>
  <si>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</si>
  <si>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</si>
  <si>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</si>
  <si>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</si>
  <si>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</si>
  <si>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</si>
  <si>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</si>
  <si>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</si>
  <si>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</si>
  <si>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</si>
  <si>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</si>
  <si>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</si>
  <si>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</si>
  <si>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</si>
  <si>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</si>
  <si>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</si>
  <si>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</si>
  <si>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</si>
  <si>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</si>
  <si>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</si>
  <si>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</si>
  <si>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</si>
  <si>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</si>
  <si>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</si>
  <si>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</si>
  <si>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</si>
  <si>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</si>
  <si>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</si>
  <si>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</si>
  <si>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</si>
  <si>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</si>
  <si>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</si>
  <si>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</si>
  <si>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</si>
  <si>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</si>
  <si>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</si>
  <si>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</si>
  <si>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</si>
  <si>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</si>
  <si>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</si>
  <si>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</si>
  <si>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</si>
  <si>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</si>
  <si>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</si>
  <si>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</si>
  <si>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</si>
  <si>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</si>
  <si>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</si>
  <si>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</si>
  <si>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</si>
  <si>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</si>
  <si>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</si>
  <si>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</si>
  <si>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</si>
  <si>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</si>
  <si>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</si>
  <si>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</si>
  <si>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</si>
  <si>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</si>
  <si>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</si>
  <si>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</si>
  <si>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</si>
  <si>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</si>
  <si>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</si>
  <si>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</si>
  <si>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</si>
  <si>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</si>
  <si>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</si>
  <si>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</si>
  <si>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</si>
  <si>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</si>
  <si>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</si>
  <si>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</si>
  <si>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</si>
  <si>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</si>
  <si>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</si>
  <si>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</si>
  <si>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</si>
  <si>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</si>
  <si>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</si>
  <si>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</si>
  <si>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</si>
  <si>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</si>
  <si>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</si>
  <si>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</si>
  <si>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</si>
  <si>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</si>
  <si>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</si>
  <si>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</si>
  <si>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</si>
  <si>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</si>
  <si>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</si>
  <si>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</si>
  <si>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</si>
  <si>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</si>
  <si>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</si>
  <si>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</si>
  <si>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</si>
  <si>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</si>
  <si>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</si>
  <si>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</si>
  <si>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</si>
  <si>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</si>
  <si>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</si>
  <si>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</si>
  <si>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</si>
  <si>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</si>
  <si>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</si>
  <si>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</si>
  <si>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</si>
  <si>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</si>
  <si>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</si>
  <si>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</si>
  <si>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</si>
  <si>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</si>
  <si>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</si>
  <si>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</si>
  <si>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</si>
  <si>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</si>
  <si>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</si>
  <si>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</si>
  <si>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</si>
  <si>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</si>
  <si>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</si>
  <si>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</si>
  <si>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</si>
  <si>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</si>
  <si>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</si>
  <si>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</si>
  <si>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</si>
  <si>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</si>
  <si>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</si>
  <si>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</si>
  <si>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</si>
  <si>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</si>
  <si>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</si>
  <si>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</si>
  <si>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</si>
  <si>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</si>
  <si>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</si>
  <si>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</si>
  <si>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</si>
  <si>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</si>
  <si>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</si>
  <si>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</si>
  <si>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</si>
  <si>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</si>
  <si>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</si>
  <si>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</si>
  <si>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</si>
  <si>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</si>
  <si>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</si>
  <si>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</si>
  <si>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</si>
  <si>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</si>
  <si>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</si>
  <si>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</si>
  <si>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</si>
  <si>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</si>
  <si>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</si>
  <si>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</si>
  <si>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</si>
  <si>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</si>
  <si>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</si>
  <si>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</si>
  <si>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</si>
  <si>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</si>
  <si>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</si>
  <si>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</si>
  <si>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</si>
  <si>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</si>
  <si>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</si>
  <si>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</si>
  <si>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</si>
  <si>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</si>
  <si>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</si>
  <si>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</si>
  <si>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</si>
  <si>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</si>
  <si>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</si>
  <si>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</si>
  <si>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</si>
  <si>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</si>
  <si>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</si>
  <si>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</si>
  <si>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</si>
  <si>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</si>
  <si>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</si>
  <si>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</si>
  <si>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</si>
  <si>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</si>
  <si>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</si>
  <si>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</si>
  <si>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</si>
  <si>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</si>
  <si>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</si>
  <si>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</si>
  <si>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</si>
  <si>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</si>
  <si>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</si>
  <si>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</si>
  <si>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</si>
  <si>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</si>
  <si>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</si>
  <si>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</si>
  <si>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</si>
  <si>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</si>
  <si>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</si>
  <si>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</si>
  <si>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</si>
  <si>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</si>
  <si>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</si>
  <si>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</si>
  <si>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</si>
  <si>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</si>
  <si>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</si>
  <si>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</si>
  <si>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</si>
  <si>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</si>
  <si>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</si>
  <si>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</si>
  <si>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</si>
  <si>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</si>
  <si>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</si>
  <si>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</si>
  <si>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</si>
  <si>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</si>
  <si>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</si>
  <si>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</si>
  <si>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</si>
  <si>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</si>
  <si>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</si>
  <si>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</si>
  <si>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</si>
  <si>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</si>
  <si>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</si>
  <si>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</si>
  <si>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</si>
  <si>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</si>
  <si>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</si>
  <si>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</si>
  <si>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</si>
  <si>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</si>
  <si>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</si>
  <si>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</si>
  <si>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</si>
  <si>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</si>
  <si>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</si>
  <si>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</si>
  <si>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</si>
  <si>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</si>
  <si>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</si>
  <si>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</si>
  <si>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</si>
  <si>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</si>
  <si>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</si>
  <si>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</si>
  <si>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</si>
  <si>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</si>
  <si>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</si>
  <si>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</si>
  <si>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</si>
  <si>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</si>
  <si>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</si>
  <si>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</si>
  <si>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</si>
  <si>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</si>
  <si>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</si>
  <si>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</si>
  <si>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</si>
  <si>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</si>
  <si>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</si>
  <si>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</si>
  <si>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</si>
  <si>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</si>
  <si>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</si>
  <si>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</si>
  <si>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</si>
  <si>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</si>
  <si>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</si>
  <si>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</si>
  <si>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</si>
  <si>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</si>
  <si>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</si>
  <si>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</si>
  <si>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</si>
  <si>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</si>
  <si>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</si>
  <si>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</si>
  <si>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</si>
  <si>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</si>
  <si>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</si>
  <si>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</si>
  <si>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</si>
  <si>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</si>
  <si>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</si>
  <si>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</si>
  <si>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</si>
  <si>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</si>
  <si>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</si>
  <si>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</si>
  <si>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</si>
  <si>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</si>
  <si>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</si>
  <si>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</si>
  <si>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</si>
  <si>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</si>
  <si>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</si>
  <si>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</si>
  <si>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</si>
  <si>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</si>
  <si>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</si>
  <si>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</si>
  <si>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</si>
  <si>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</si>
  <si>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</si>
  <si>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</si>
  <si>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</si>
  <si>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</si>
  <si>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</si>
  <si>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</si>
  <si>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</si>
  <si>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</si>
  <si>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</si>
  <si>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</si>
  <si>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</si>
  <si>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</si>
  <si>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</si>
  <si>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</si>
  <si>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</si>
  <si>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</si>
  <si>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</si>
  <si>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</si>
  <si>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</si>
  <si>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</si>
  <si>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</si>
  <si>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</si>
  <si>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</si>
  <si>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</si>
  <si>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</si>
  <si>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</si>
  <si>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</si>
  <si>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</si>
  <si>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</si>
  <si>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</si>
  <si>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</si>
  <si>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</si>
  <si>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</si>
  <si>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</si>
  <si>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</si>
  <si>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</si>
  <si>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</si>
  <si>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</si>
  <si>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</si>
  <si>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</si>
  <si>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</si>
  <si>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</si>
  <si>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</si>
  <si>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</si>
  <si>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</si>
  <si>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</si>
  <si>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</si>
  <si>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</si>
  <si>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</si>
  <si>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</si>
  <si>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</si>
  <si>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</si>
  <si>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</si>
  <si>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</si>
  <si>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</si>
  <si>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</si>
  <si>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</si>
  <si>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</si>
  <si>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</si>
  <si>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</si>
  <si>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</si>
  <si>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</si>
  <si>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</si>
  <si>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</si>
  <si>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</si>
  <si>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</si>
  <si>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</si>
  <si>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</si>
  <si>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</si>
  <si>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</si>
  <si>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</si>
  <si>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</si>
  <si>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</si>
  <si>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</si>
  <si>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</si>
  <si>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</si>
  <si>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</si>
  <si>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</si>
  <si>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</si>
  <si>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</si>
  <si>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</si>
  <si>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</si>
  <si>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</si>
  <si>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</si>
  <si>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</si>
  <si>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</si>
  <si>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</si>
  <si>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</si>
  <si>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</si>
  <si>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</si>
  <si>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</si>
  <si>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</si>
  <si>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</si>
  <si>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</si>
  <si>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</si>
  <si>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</si>
  <si>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</si>
  <si>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</si>
  <si>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</si>
  <si>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</si>
  <si>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</si>
  <si>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</si>
  <si>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</si>
  <si>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</si>
  <si>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</si>
  <si>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</si>
  <si>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</si>
  <si>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</si>
  <si>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</si>
  <si>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</si>
  <si>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</si>
  <si>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</si>
  <si>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</si>
  <si>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</si>
  <si>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</si>
  <si>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</si>
  <si>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</si>
  <si>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</si>
  <si>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</si>
  <si>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</si>
  <si>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</si>
  <si>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</si>
  <si>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</si>
  <si>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</si>
  <si>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</si>
  <si>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</si>
  <si>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</si>
  <si>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</si>
  <si>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</si>
  <si>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</si>
  <si>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</si>
  <si>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</si>
  <si>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</si>
  <si>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</si>
  <si>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</si>
  <si>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</si>
  <si>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</si>
  <si>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</si>
  <si>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</si>
  <si>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</si>
  <si>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</si>
  <si>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</si>
  <si>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</si>
  <si>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</si>
  <si>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</si>
  <si>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</si>
  <si>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</si>
  <si>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</si>
  <si>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</si>
  <si>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</si>
  <si>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</si>
  <si>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</si>
  <si>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</si>
  <si>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</si>
  <si>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</si>
  <si>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</si>
  <si>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</si>
  <si>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</si>
  <si>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</si>
  <si>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</si>
  <si>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</si>
  <si>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</si>
  <si>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</si>
  <si>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</si>
  <si>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</si>
  <si>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</si>
  <si>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</si>
  <si>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</si>
  <si>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</si>
  <si>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</si>
  <si>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</si>
  <si>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</si>
  <si>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</si>
  <si>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</si>
  <si>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</si>
  <si>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</si>
  <si>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</si>
  <si>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</si>
  <si>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</si>
  <si>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</si>
  <si>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</si>
  <si>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</si>
  <si>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</si>
  <si>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</si>
  <si>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</si>
  <si>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</si>
  <si>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</si>
  <si>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</si>
  <si>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</si>
  <si>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</si>
  <si>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</si>
  <si>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</si>
  <si>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</si>
  <si>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</si>
  <si>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</si>
  <si>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</si>
  <si>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</si>
  <si>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</si>
  <si>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</si>
  <si>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</si>
  <si>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</si>
  <si>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</si>
  <si>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</si>
  <si>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</si>
  <si>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</si>
  <si>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</si>
  <si>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</si>
  <si>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</si>
  <si>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</si>
  <si>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</si>
  <si>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</si>
  <si>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</si>
  <si>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</si>
  <si>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</si>
  <si>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</si>
  <si>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</si>
  <si>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</si>
  <si>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</si>
  <si>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</si>
  <si>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</si>
  <si>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</si>
  <si>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</si>
  <si>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</si>
  <si>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</si>
  <si>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</si>
  <si>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</si>
  <si>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</si>
  <si>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</si>
  <si>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</si>
  <si>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</si>
  <si>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</si>
  <si>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</si>
  <si>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</si>
  <si>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</si>
  <si>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</si>
  <si>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</si>
  <si>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</si>
  <si>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</si>
  <si>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</si>
  <si>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</si>
  <si>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</si>
  <si>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</si>
  <si>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</si>
  <si>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</si>
  <si>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</si>
  <si>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</si>
  <si>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</si>
  <si>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</si>
  <si>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</si>
  <si>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</si>
  <si>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</si>
  <si>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</si>
  <si>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</si>
  <si>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</si>
  <si>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</si>
  <si>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</si>
  <si>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</si>
  <si>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</si>
  <si>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</si>
  <si>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</si>
  <si>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</si>
  <si>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</si>
  <si>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</si>
  <si>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</si>
  <si>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</si>
  <si>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</si>
  <si>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</si>
  <si>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</si>
  <si>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</si>
  <si>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</si>
  <si>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</si>
  <si>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</si>
  <si>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</si>
  <si>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</si>
  <si>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</si>
  <si>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</si>
  <si>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</si>
  <si>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</si>
  <si>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</si>
  <si>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</si>
  <si>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</si>
  <si>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</si>
  <si>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</si>
  <si>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</si>
  <si>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</si>
  <si>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</si>
  <si>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</si>
  <si>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</si>
  <si>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</si>
  <si>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</si>
  <si>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</si>
  <si>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</si>
  <si>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</si>
  <si>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</si>
  <si>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</si>
  <si>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</si>
  <si>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</si>
  <si>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</si>
  <si>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</si>
  <si>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</si>
  <si>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</si>
  <si>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</si>
  <si>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</si>
  <si>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</si>
  <si>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</si>
  <si>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</si>
  <si>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</si>
  <si>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</si>
  <si>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</si>
  <si>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</si>
  <si>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</si>
  <si>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</si>
  <si>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</si>
  <si>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</si>
  <si>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</si>
  <si>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</si>
  <si>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</si>
  <si>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</si>
  <si>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</si>
  <si>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</si>
  <si>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</si>
  <si>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</si>
  <si>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</si>
  <si>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</si>
  <si>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</si>
  <si>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</si>
  <si>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</si>
  <si>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</si>
  <si>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</si>
  <si>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</si>
  <si>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</si>
  <si>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</si>
  <si>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</si>
  <si>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</si>
  <si>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</si>
  <si>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</si>
  <si>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</si>
  <si>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</si>
  <si>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</si>
  <si>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</si>
  <si>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</si>
  <si>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</si>
  <si>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</si>
  <si>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</si>
  <si>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</si>
  <si>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</si>
  <si>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</si>
  <si>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</si>
  <si>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</si>
  <si>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</si>
  <si>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</si>
  <si>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</si>
  <si>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</si>
  <si>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</si>
  <si>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</si>
  <si>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</si>
  <si>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</si>
  <si>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</si>
  <si>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</si>
  <si>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</si>
  <si>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</si>
  <si>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</si>
  <si>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</si>
  <si>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</si>
  <si>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</si>
  <si>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</si>
  <si>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</si>
  <si>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</si>
  <si>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</si>
  <si>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</si>
  <si>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</si>
  <si>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</si>
  <si>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</si>
  <si>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</si>
  <si>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</si>
  <si>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</si>
  <si>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</si>
  <si>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</si>
  <si>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</si>
  <si>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</si>
  <si>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</si>
  <si>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</si>
  <si>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</si>
  <si>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</si>
  <si>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</si>
  <si>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</si>
  <si>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</si>
  <si>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</si>
  <si>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</si>
  <si>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</si>
  <si>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</si>
  <si>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</si>
  <si>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</si>
  <si>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</si>
  <si>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</si>
  <si>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</si>
  <si>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</si>
  <si>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</si>
  <si>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</si>
  <si>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</si>
  <si>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</si>
  <si>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</si>
  <si>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</si>
  <si>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</si>
  <si>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</si>
  <si>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</si>
  <si>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</si>
  <si>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</si>
  <si>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</si>
  <si>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</si>
  <si>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</si>
  <si>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</si>
  <si>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</si>
  <si>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</si>
  <si>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</si>
  <si>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</si>
  <si>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</si>
  <si>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</si>
  <si>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</si>
  <si>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</si>
  <si>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</si>
  <si>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</si>
  <si>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</si>
  <si>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</si>
  <si>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</si>
  <si>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</si>
  <si>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</si>
  <si>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</si>
  <si>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</si>
  <si>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</si>
  <si>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</si>
  <si>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</si>
  <si>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</si>
  <si>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</si>
  <si>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</si>
  <si>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</si>
  <si>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</si>
  <si>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</si>
  <si>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</si>
  <si>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</si>
  <si>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</si>
  <si>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</si>
  <si>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</si>
  <si>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</si>
  <si>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</si>
  <si>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</si>
  <si>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</si>
  <si>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</si>
  <si>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</si>
  <si>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</si>
  <si>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</si>
  <si>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</si>
  <si>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</si>
  <si>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</si>
  <si>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</si>
  <si>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</si>
  <si>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</si>
  <si>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</si>
  <si>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</si>
  <si>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</si>
  <si>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</si>
  <si>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</si>
  <si>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</si>
  <si>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</si>
  <si>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</si>
  <si>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</si>
  <si>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</si>
  <si>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</si>
  <si>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</si>
  <si>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</si>
  <si>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</si>
  <si>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</si>
  <si>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</si>
  <si>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</si>
  <si>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</si>
  <si>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</si>
  <si>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</si>
  <si>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</si>
  <si>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</si>
  <si>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</si>
  <si>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</si>
  <si>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</si>
  <si>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</si>
  <si>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</si>
  <si>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</si>
  <si>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</si>
  <si>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</si>
  <si>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</si>
  <si>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</si>
  <si>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</si>
  <si>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</si>
  <si>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</si>
  <si>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</si>
  <si>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</si>
  <si>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</si>
  <si>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</si>
  <si>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</si>
  <si>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</si>
  <si>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</si>
  <si>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</si>
  <si>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</si>
  <si>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</si>
  <si>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</si>
  <si>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</si>
  <si>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</si>
  <si>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</si>
  <si>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</si>
  <si>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</si>
  <si>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</si>
  <si>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</si>
  <si>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</si>
  <si>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</si>
  <si>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</si>
  <si>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</si>
  <si>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</si>
  <si>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</si>
  <si>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</si>
  <si>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</si>
  <si>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</si>
  <si>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</si>
  <si>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</si>
  <si>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</si>
  <si>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</si>
  <si>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</si>
  <si>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</si>
  <si>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</si>
  <si>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</si>
  <si>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</si>
  <si>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</si>
  <si>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</si>
  <si>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</si>
  <si>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</si>
  <si>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</si>
  <si>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</si>
  <si>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</si>
  <si>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</si>
  <si>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</si>
  <si>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</si>
  <si>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</si>
  <si>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</si>
  <si>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</si>
  <si>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</si>
  <si>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</si>
  <si>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</si>
  <si>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</si>
  <si>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</si>
  <si>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</si>
  <si>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</si>
  <si>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</si>
  <si>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</si>
  <si>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</si>
  <si>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</si>
  <si>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</si>
  <si>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</si>
  <si>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</si>
  <si>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</si>
  <si>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</si>
  <si>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</si>
  <si>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</si>
  <si>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</si>
  <si>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</si>
  <si>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</si>
  <si>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</si>
  <si>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</si>
  <si>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</si>
  <si>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</si>
  <si>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</si>
  <si>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</si>
  <si>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</si>
  <si>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</si>
  <si>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</si>
  <si>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</si>
  <si>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</si>
  <si>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</si>
  <si>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</si>
  <si>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</si>
  <si>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</si>
  <si>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</si>
  <si>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</si>
  <si>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</si>
  <si>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</si>
  <si>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</si>
  <si>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</si>
  <si>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</si>
  <si>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</si>
  <si>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</si>
  <si>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</si>
  <si>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</si>
  <si>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</si>
  <si>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</si>
  <si>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</si>
  <si>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</si>
  <si>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</si>
  <si>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</si>
  <si>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</si>
  <si>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</si>
  <si>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</si>
  <si>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</si>
  <si>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</si>
  <si>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</si>
  <si>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</si>
  <si>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</si>
  <si>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</si>
  <si>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</si>
  <si>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</si>
  <si>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</si>
  <si>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</si>
  <si>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</si>
  <si>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</si>
  <si>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</si>
  <si>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</si>
  <si>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</si>
  <si>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</si>
  <si>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</si>
  <si>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</si>
  <si>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</si>
  <si>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</si>
  <si>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</si>
  <si>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</si>
  <si>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</si>
  <si>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</si>
  <si>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</si>
  <si>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</si>
  <si>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</si>
  <si>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</si>
  <si>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</si>
  <si>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</si>
  <si>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</si>
  <si>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</si>
  <si>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</si>
  <si>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</si>
  <si>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</si>
  <si>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</si>
  <si>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</si>
  <si>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</si>
  <si>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</si>
  <si>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</si>
  <si>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</si>
  <si>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</si>
  <si>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</si>
  <si>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</si>
  <si>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</si>
  <si>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</si>
  <si>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</si>
  <si>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</si>
  <si>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</si>
  <si>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</si>
  <si>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</si>
  <si>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</si>
  <si>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</si>
  <si>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</si>
  <si>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</si>
  <si>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</si>
  <si>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</si>
  <si>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</si>
  <si>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</si>
  <si>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</si>
  <si>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</si>
  <si>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</si>
  <si>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</si>
  <si>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</si>
  <si>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</si>
  <si>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</si>
  <si>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</si>
  <si>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</si>
  <si>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</si>
  <si>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</si>
  <si>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</si>
  <si>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</si>
  <si>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</si>
  <si>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</si>
  <si>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</si>
  <si>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</si>
  <si>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</si>
  <si>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</si>
  <si>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</si>
  <si>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</si>
  <si>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</si>
  <si>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</si>
  <si>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</si>
  <si>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</si>
  <si>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</si>
  <si>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</si>
  <si>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</si>
  <si>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</si>
  <si>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</si>
  <si>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</si>
  <si>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</si>
  <si>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</si>
  <si>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</si>
  <si>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</si>
  <si>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</si>
  <si>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</si>
  <si>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</si>
  <si>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</si>
  <si>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</si>
  <si>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</si>
  <si>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</si>
  <si>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</si>
  <si>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</si>
  <si>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</si>
  <si>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</si>
  <si>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</si>
  <si>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</si>
  <si>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</si>
  <si>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</si>
  <si>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</si>
  <si>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</si>
  <si>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</si>
  <si>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</si>
  <si>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</si>
  <si>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</si>
  <si>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</si>
  <si>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</si>
  <si>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</si>
  <si>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</si>
  <si>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</si>
  <si>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</si>
  <si>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</si>
  <si>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</si>
  <si>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</si>
  <si>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</si>
  <si>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</si>
  <si>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</si>
  <si>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</si>
  <si>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</si>
  <si>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</si>
  <si>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</si>
  <si>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</si>
  <si>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</si>
  <si>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</si>
  <si>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</si>
  <si>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</si>
  <si>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</si>
  <si>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</si>
  <si>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</si>
  <si>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</si>
  <si>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</si>
  <si>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</si>
  <si>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</si>
  <si>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</si>
  <si>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</si>
  <si>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</si>
  <si>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</si>
  <si>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</si>
  <si>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</si>
  <si>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</si>
  <si>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</si>
  <si>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</si>
  <si>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</si>
  <si>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</si>
  <si>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</si>
  <si>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</si>
  <si>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</si>
  <si>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</si>
  <si>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</si>
  <si>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</si>
  <si>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</si>
  <si>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</si>
  <si>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</si>
  <si>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</si>
  <si>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</si>
  <si>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</si>
  <si>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</si>
  <si>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</si>
  <si>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</si>
  <si>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</si>
  <si>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</si>
  <si>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</si>
  <si>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</si>
  <si>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</si>
  <si>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</si>
  <si>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</si>
  <si>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</si>
  <si>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</si>
  <si>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</si>
  <si>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</si>
  <si>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</si>
  <si>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</si>
  <si>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</si>
  <si>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</si>
  <si>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</si>
  <si>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</si>
  <si>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</si>
  <si>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</si>
  <si>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</si>
  <si>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</si>
  <si>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</si>
  <si>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</si>
  <si>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</si>
  <si>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</si>
  <si>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</si>
  <si>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</si>
  <si>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</si>
  <si>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</si>
  <si>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</si>
  <si>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</si>
  <si>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</si>
  <si>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</si>
  <si>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</si>
  <si>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</si>
  <si>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</si>
  <si>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</si>
  <si>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</si>
  <si>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</si>
  <si>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</si>
  <si>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</si>
  <si>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</si>
  <si>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</si>
  <si>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</si>
  <si>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</si>
  <si>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</si>
  <si>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</si>
  <si>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</si>
  <si>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</si>
  <si>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</si>
  <si>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</si>
  <si>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</si>
  <si>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</si>
  <si>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</si>
  <si>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</si>
  <si>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</si>
  <si>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</si>
  <si>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</si>
  <si>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</si>
  <si>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</si>
  <si>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</si>
  <si>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</si>
  <si>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</si>
  <si>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</si>
  <si>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</si>
  <si>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</si>
  <si>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</si>
  <si>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</si>
  <si>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</si>
  <si>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</si>
  <si>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</si>
  <si>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</si>
  <si>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</si>
  <si>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</si>
  <si>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</si>
  <si>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</si>
  <si>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</si>
  <si>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</si>
  <si>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</si>
  <si>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</si>
  <si>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</si>
  <si>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</si>
  <si>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</si>
  <si>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</si>
  <si>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</si>
  <si>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</si>
  <si>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</si>
  <si>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</si>
  <si>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</si>
  <si>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</si>
  <si>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</si>
  <si>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</si>
  <si>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</si>
  <si>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</si>
  <si>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</si>
  <si>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</si>
  <si>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</si>
  <si>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</si>
  <si>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</si>
  <si>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</si>
  <si>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</si>
  <si>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</si>
  <si>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</si>
  <si>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</si>
  <si>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</si>
  <si>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</si>
  <si>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</si>
  <si>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</si>
  <si>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</si>
  <si>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</si>
  <si>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</si>
  <si>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</si>
  <si>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</si>
  <si>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</si>
  <si>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</si>
  <si>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</si>
  <si>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</si>
  <si>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</si>
  <si>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</si>
  <si>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</si>
  <si>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</si>
  <si>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</si>
  <si>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</si>
  <si>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</si>
  <si>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</si>
  <si>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</si>
  <si>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</si>
  <si>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</si>
  <si>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</si>
  <si>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</si>
  <si>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</si>
  <si>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</si>
  <si>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</si>
  <si>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</si>
  <si>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</si>
  <si>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</si>
  <si>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</si>
  <si>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</si>
  <si>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</si>
  <si>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</si>
  <si>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</si>
  <si>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</si>
  <si>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</si>
  <si>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</si>
  <si>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</si>
  <si>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</si>
  <si>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</si>
  <si>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</si>
  <si>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</si>
  <si>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</si>
  <si>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</si>
  <si>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</si>
  <si>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</si>
  <si>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</si>
  <si>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</si>
  <si>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</si>
  <si>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</si>
  <si>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</si>
  <si>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</si>
  <si>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</si>
  <si>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</si>
  <si>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</si>
  <si>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</si>
  <si>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</si>
  <si>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</si>
  <si>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</si>
  <si>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</si>
  <si>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</si>
  <si>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</si>
  <si>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</si>
  <si>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</si>
  <si>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</si>
  <si>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</si>
  <si>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</si>
  <si>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</si>
  <si>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</si>
  <si>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</si>
  <si>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</si>
  <si>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</si>
  <si>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</si>
  <si>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</si>
  <si>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</si>
  <si>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</si>
  <si>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</si>
  <si>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</si>
  <si>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</si>
  <si>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</si>
  <si>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</si>
  <si>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</si>
  <si>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</si>
  <si>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</si>
  <si>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</si>
  <si>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</si>
  <si>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</si>
  <si>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</si>
  <si>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</si>
  <si>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</si>
  <si>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</si>
  <si>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</si>
  <si>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</si>
  <si>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</si>
  <si>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</si>
  <si>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</si>
  <si>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</si>
  <si>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</si>
  <si>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</si>
  <si>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</si>
  <si>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</si>
  <si>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</si>
  <si>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</si>
  <si>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</si>
  <si>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</si>
  <si>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</si>
  <si>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</si>
  <si>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</si>
  <si>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</si>
  <si>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</si>
  <si>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</si>
  <si>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</si>
  <si>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</si>
  <si>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</si>
  <si>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</si>
  <si>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</si>
  <si>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</si>
  <si>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</si>
  <si>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</si>
  <si>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</si>
  <si>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</si>
  <si>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</si>
  <si>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</si>
  <si>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</si>
  <si>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</si>
  <si>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</si>
  <si>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</si>
  <si>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</si>
  <si>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</si>
  <si>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</si>
  <si>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</si>
  <si>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</si>
  <si>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</si>
  <si>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</si>
  <si>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</si>
  <si>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</si>
  <si>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</si>
  <si>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</si>
  <si>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</si>
  <si>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</si>
  <si>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</si>
  <si>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</si>
  <si>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</si>
  <si>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</si>
  <si>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</si>
  <si>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</si>
  <si>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</si>
  <si>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</si>
  <si>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</si>
  <si>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</si>
  <si>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</si>
  <si>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</si>
  <si>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</si>
  <si>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</si>
  <si>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</si>
  <si>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</si>
  <si>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</si>
  <si>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</si>
  <si>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</si>
  <si>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</si>
  <si>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</si>
  <si>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</si>
  <si>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</si>
  <si>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</si>
  <si>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</si>
  <si>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</si>
  <si>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</si>
  <si>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</si>
  <si>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</si>
  <si>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</si>
  <si>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</si>
  <si>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</si>
  <si>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</si>
  <si>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</si>
  <si>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</si>
  <si>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</si>
  <si>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</si>
  <si>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</si>
  <si>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</si>
  <si>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</si>
  <si>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</si>
  <si>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</si>
  <si>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</si>
  <si>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</si>
  <si>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</si>
  <si>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</si>
  <si>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</si>
  <si>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</si>
  <si>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</si>
  <si>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</si>
  <si>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</si>
  <si>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</si>
  <si>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</si>
  <si>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</si>
  <si>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</si>
  <si>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</si>
  <si>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</si>
  <si>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</si>
  <si>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</si>
  <si>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</si>
  <si>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</si>
  <si>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</si>
  <si>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</si>
  <si>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</si>
  <si>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</si>
  <si>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</si>
  <si>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</si>
  <si>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</si>
  <si>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</si>
  <si>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</si>
  <si>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</si>
  <si>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</si>
  <si>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</si>
  <si>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</si>
  <si>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</si>
  <si>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</si>
  <si>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</si>
  <si>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</si>
  <si>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</si>
  <si>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</si>
  <si>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</si>
  <si>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</si>
  <si>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</si>
  <si>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</si>
  <si>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</si>
  <si>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</si>
  <si>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</si>
  <si>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</si>
  <si>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</si>
  <si>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</si>
  <si>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</si>
  <si>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</si>
  <si>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</si>
  <si>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</si>
  <si>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</si>
  <si>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</si>
  <si>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</si>
  <si>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</si>
  <si>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</si>
  <si>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</si>
  <si>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</si>
  <si>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</si>
  <si>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</si>
  <si>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</si>
  <si>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</si>
  <si>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</si>
  <si>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</si>
  <si>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</si>
  <si>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</si>
  <si>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</si>
  <si>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</si>
  <si>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</si>
  <si>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</si>
  <si>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</si>
  <si>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</si>
  <si>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</si>
  <si>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</si>
  <si>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</si>
  <si>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</si>
  <si>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</si>
  <si>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</si>
  <si>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</si>
  <si>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</si>
  <si>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</si>
  <si>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</si>
  <si>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</si>
  <si>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</si>
  <si>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</si>
  <si>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</si>
  <si>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</si>
  <si>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</si>
  <si>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</si>
  <si>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</si>
  <si>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</si>
  <si>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</si>
  <si>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</si>
  <si>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</si>
  <si>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</si>
  <si>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</si>
  <si>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</si>
  <si>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</si>
  <si>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</si>
  <si>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</si>
  <si>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</si>
  <si>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</si>
  <si>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</si>
  <si>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</si>
  <si>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</si>
  <si>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</si>
  <si>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</si>
  <si>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</si>
  <si>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</si>
  <si>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</si>
  <si>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</si>
  <si>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</si>
  <si>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</si>
  <si>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</si>
  <si>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</si>
  <si>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</si>
  <si>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</si>
  <si>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</si>
  <si>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</si>
  <si>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</si>
  <si>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</si>
  <si>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</si>
  <si>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</si>
  <si>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</si>
  <si>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</si>
  <si>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</si>
  <si>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</si>
  <si>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</si>
  <si>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</si>
  <si>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</si>
  <si>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</si>
  <si>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</si>
  <si>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</si>
  <si>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</si>
  <si>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</si>
  <si>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</si>
  <si>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</si>
  <si>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</si>
  <si>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</si>
  <si>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</si>
  <si>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</si>
  <si>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</si>
  <si>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</si>
  <si>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</si>
  <si>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</si>
  <si>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</si>
  <si>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</si>
  <si>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</si>
  <si>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</si>
  <si>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</si>
  <si>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</si>
  <si>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</si>
  <si>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</si>
  <si>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</si>
  <si>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</si>
  <si>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</si>
  <si>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</si>
  <si>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</si>
  <si>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</si>
  <si>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</si>
  <si>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</si>
  <si>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</si>
  <si>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</si>
  <si>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</si>
  <si>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</si>
  <si>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</si>
  <si>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</si>
  <si>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</si>
  <si>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</si>
  <si>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</si>
  <si>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</si>
  <si>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</si>
  <si>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</si>
  <si>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</si>
  <si>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</si>
  <si>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</si>
  <si>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</si>
  <si>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</si>
  <si>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</si>
  <si>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</si>
  <si>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</si>
  <si>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</si>
  <si>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</si>
  <si>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</si>
  <si>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</si>
  <si>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</si>
  <si>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</si>
  <si>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</si>
  <si>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</si>
  <si>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</si>
  <si>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</si>
  <si>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</si>
  <si>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</si>
  <si>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</si>
  <si>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</si>
  <si>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</si>
  <si>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</si>
  <si>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</si>
  <si>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</si>
  <si>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</si>
  <si>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</si>
  <si>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</si>
  <si>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</si>
  <si>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</si>
  <si>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</si>
  <si>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</si>
  <si>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</si>
  <si>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</si>
  <si>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</si>
  <si>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</si>
  <si>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</si>
  <si>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</si>
  <si>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</si>
  <si>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</si>
  <si>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</si>
  <si>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</si>
  <si>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</si>
  <si>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</si>
  <si>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</si>
  <si>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</si>
  <si>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</si>
  <si>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</si>
  <si>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</si>
  <si>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</si>
  <si>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</si>
  <si>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</si>
  <si>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</si>
  <si>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</si>
  <si>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</si>
  <si>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</si>
  <si>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</si>
  <si>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</si>
  <si>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</si>
  <si>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</si>
  <si>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</si>
  <si>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</si>
  <si>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</si>
  <si>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</si>
  <si>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</si>
  <si>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</si>
  <si>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</si>
  <si>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</si>
  <si>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</si>
  <si>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</si>
  <si>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</si>
  <si>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</si>
  <si>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</si>
  <si>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</si>
  <si>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</si>
  <si>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</si>
  <si>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</si>
  <si>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</si>
  <si>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</si>
  <si>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</si>
  <si>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</si>
  <si>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</si>
  <si>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</si>
  <si>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</si>
  <si>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</si>
  <si>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</si>
  <si>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</si>
  <si>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</si>
  <si>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</si>
  <si>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</si>
  <si>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</si>
  <si>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</si>
  <si>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</si>
  <si>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</si>
  <si>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</si>
  <si>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</si>
  <si>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</si>
  <si>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</si>
  <si>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</si>
  <si>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</si>
  <si>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</si>
  <si>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</si>
  <si>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</si>
  <si>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</si>
  <si>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</si>
  <si>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</si>
  <si>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</si>
  <si>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</si>
  <si>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</si>
  <si>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</si>
  <si>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</si>
  <si>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</si>
  <si>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</si>
  <si>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</si>
  <si>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</si>
  <si>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</si>
  <si>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</si>
  <si>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</si>
  <si>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</si>
  <si>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</si>
  <si>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</si>
  <si>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</si>
  <si>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</si>
  <si>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</si>
  <si>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</si>
  <si>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</si>
  <si>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</si>
  <si>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</si>
  <si>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</si>
  <si>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</si>
  <si>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</si>
  <si>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</si>
  <si>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</si>
  <si>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</si>
  <si>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</si>
  <si>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</si>
  <si>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</si>
  <si>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</si>
  <si>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</si>
  <si>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</si>
  <si>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</si>
  <si>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</si>
  <si>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</si>
  <si>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</si>
  <si>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</si>
  <si>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</si>
  <si>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</si>
  <si>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</si>
  <si>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</si>
  <si>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</si>
  <si>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</si>
  <si>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</si>
  <si>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</si>
  <si>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</si>
  <si>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</si>
  <si>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</si>
  <si>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</si>
  <si>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</si>
  <si>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</si>
  <si>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</si>
  <si>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</si>
  <si>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</si>
  <si>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</si>
  <si>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</si>
  <si>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</si>
  <si>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</si>
  <si>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</si>
  <si>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</si>
  <si>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</si>
  <si>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</si>
  <si>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</si>
  <si>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</si>
  <si>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</si>
  <si>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</si>
  <si>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</si>
  <si>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</si>
  <si>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</si>
  <si>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</si>
  <si>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</si>
  <si>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</si>
  <si>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</si>
  <si>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</si>
  <si>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</si>
  <si>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</si>
  <si>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</si>
  <si>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</si>
  <si>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</si>
  <si>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</si>
  <si>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</si>
  <si>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</si>
  <si>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</si>
  <si>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</si>
  <si>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</si>
  <si>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</si>
  <si>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</si>
  <si>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</si>
  <si>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</si>
  <si>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</si>
  <si>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</si>
  <si>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</si>
  <si>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</si>
  <si>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</si>
  <si>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</si>
  <si>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</si>
  <si>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</si>
  <si>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</si>
  <si>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</si>
  <si>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</si>
  <si>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</si>
  <si>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</si>
  <si>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</si>
  <si>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</si>
  <si>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</si>
  <si>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</si>
  <si>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</si>
  <si>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</si>
  <si>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</si>
  <si>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</si>
  <si>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</si>
  <si>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</si>
  <si>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</si>
  <si>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</si>
  <si>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</si>
  <si>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</si>
  <si>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</si>
  <si>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</si>
  <si>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</si>
  <si>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</si>
  <si>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</si>
  <si>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</si>
  <si>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</si>
  <si>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</si>
  <si>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</si>
  <si>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</si>
  <si>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</si>
  <si>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</si>
  <si>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</si>
  <si>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</si>
  <si>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</si>
  <si>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</si>
  <si>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</si>
  <si>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</si>
  <si>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</si>
  <si>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</si>
  <si>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</si>
  <si>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</si>
  <si>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</si>
  <si>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</si>
  <si>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</si>
  <si>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</si>
  <si>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</si>
  <si>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</si>
  <si>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</si>
  <si>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</si>
  <si>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</si>
  <si>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</si>
  <si>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</si>
  <si>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</si>
  <si>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</si>
  <si>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</si>
  <si>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</si>
  <si>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</si>
  <si>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</si>
  <si>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</si>
  <si>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</si>
  <si>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</si>
  <si>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</si>
  <si>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</si>
  <si>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</si>
  <si>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</si>
  <si>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</si>
  <si>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</si>
  <si>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</si>
  <si>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</si>
  <si>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</si>
  <si>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</si>
  <si>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</si>
  <si>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</si>
  <si>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</si>
  <si>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</si>
  <si>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</si>
  <si>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</si>
  <si>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</si>
  <si>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</si>
  <si>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</si>
  <si>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</si>
  <si>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</si>
  <si>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</si>
  <si>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</si>
  <si>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</si>
  <si>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</si>
  <si>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</si>
  <si>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</si>
  <si>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</si>
  <si>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</si>
  <si>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</si>
  <si>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</si>
  <si>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</si>
  <si>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</si>
  <si>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</si>
  <si>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</si>
  <si>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</si>
  <si>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</si>
  <si>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</si>
  <si>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</si>
  <si>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</si>
  <si>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</si>
  <si>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</si>
  <si>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</si>
  <si>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</si>
  <si>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</si>
  <si>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</si>
  <si>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</si>
  <si>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</si>
  <si>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</si>
  <si>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</si>
  <si>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</si>
  <si>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</si>
  <si>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</si>
  <si>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</si>
  <si>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</si>
  <si>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</si>
  <si>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</si>
  <si>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</si>
  <si>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</si>
  <si>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</si>
  <si>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</si>
  <si>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</si>
  <si>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</si>
  <si>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</si>
  <si>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</si>
  <si>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</si>
  <si>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</si>
  <si>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</si>
  <si>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</si>
  <si>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</si>
  <si>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</si>
  <si>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</si>
  <si>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</si>
  <si>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</si>
  <si>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</si>
  <si>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</si>
  <si>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</si>
  <si>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</si>
  <si>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</si>
  <si>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</si>
  <si>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</si>
  <si>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</si>
  <si>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</si>
  <si>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</si>
  <si>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</si>
  <si>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</si>
  <si>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</si>
  <si>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</si>
  <si>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</si>
  <si>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</si>
  <si>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</si>
  <si>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</si>
  <si>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</si>
  <si>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</si>
  <si>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</si>
  <si>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</si>
  <si>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</si>
  <si>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</si>
  <si>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</si>
  <si>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</si>
  <si>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</si>
  <si>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</si>
  <si>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</si>
  <si>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</si>
  <si>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</si>
  <si>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</si>
  <si>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</si>
  <si>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</si>
  <si>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</si>
  <si>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</si>
  <si>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</si>
  <si>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</si>
  <si>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</si>
  <si>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</si>
  <si>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</si>
  <si>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</si>
  <si>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</si>
  <si>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</si>
  <si>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</si>
  <si>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</si>
  <si>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</si>
  <si>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</si>
  <si>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</si>
  <si>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</si>
  <si>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</si>
  <si>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</si>
  <si>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</si>
  <si>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</si>
  <si>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</si>
  <si>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</si>
  <si>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</si>
  <si>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</si>
  <si>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</si>
  <si>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</si>
  <si>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</si>
  <si>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</si>
  <si>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</si>
  <si>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</si>
  <si>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</si>
  <si>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</si>
  <si>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</si>
  <si>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</si>
  <si>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</si>
  <si>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</si>
  <si>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</si>
  <si>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</si>
  <si>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</si>
  <si>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</si>
  <si>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</si>
  <si>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</si>
  <si>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</si>
  <si>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</si>
  <si>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</si>
  <si>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</si>
  <si>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</si>
  <si>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</si>
  <si>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</si>
  <si>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</si>
  <si>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</si>
  <si>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</si>
  <si>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</si>
  <si>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</si>
  <si>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</si>
  <si>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</si>
  <si>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</si>
  <si>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</si>
  <si>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</si>
  <si>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</si>
  <si>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</si>
  <si>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</si>
  <si>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</si>
  <si>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</si>
  <si>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</si>
  <si>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</si>
  <si>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</si>
  <si>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</si>
  <si>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</si>
  <si>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</si>
  <si>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</si>
  <si>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</si>
  <si>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</si>
  <si>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</si>
  <si>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</si>
  <si>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</si>
  <si>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</si>
  <si>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</si>
  <si>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</si>
  <si>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</si>
  <si>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</si>
  <si>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</si>
  <si>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</si>
  <si>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</si>
  <si>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</si>
  <si>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</si>
  <si>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</si>
  <si>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</si>
  <si>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</si>
  <si>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</si>
  <si>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</si>
  <si>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</si>
  <si>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</si>
  <si>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</si>
  <si>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</si>
  <si>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</si>
  <si>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</si>
  <si>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</si>
  <si>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</si>
  <si>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</si>
  <si>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</si>
  <si>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</si>
  <si>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</si>
  <si>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</si>
  <si>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</si>
  <si>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</si>
  <si>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</si>
  <si>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</si>
  <si>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</si>
  <si>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</si>
  <si>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</si>
  <si>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</si>
  <si>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</si>
  <si>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</si>
  <si>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</si>
  <si>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</si>
  <si>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</si>
  <si>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</si>
  <si>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</si>
  <si>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</si>
  <si>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</si>
  <si>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</si>
  <si>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</si>
  <si>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</si>
  <si>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</si>
  <si>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</si>
  <si>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</si>
  <si>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</si>
  <si>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</si>
  <si>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</si>
  <si>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</si>
  <si>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</si>
  <si>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</si>
  <si>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</si>
  <si>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</si>
  <si>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</si>
  <si>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</si>
  <si>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</si>
  <si>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</si>
  <si>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</si>
  <si>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</si>
  <si>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</si>
  <si>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</si>
  <si>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</si>
  <si>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</si>
  <si>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</si>
  <si>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</si>
  <si>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</si>
  <si>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</si>
  <si>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</si>
  <si>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</si>
  <si>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</si>
  <si>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</si>
  <si>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</si>
  <si>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</si>
  <si>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</si>
  <si>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</si>
  <si>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</si>
  <si>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</si>
  <si>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</si>
  <si>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</si>
  <si>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</si>
  <si>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</si>
  <si>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</si>
  <si>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</si>
  <si>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</si>
  <si>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</si>
  <si>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</si>
  <si>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</si>
  <si>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</si>
  <si>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</si>
  <si>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</si>
  <si>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</si>
  <si>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</si>
  <si>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</si>
  <si>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</si>
  <si>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</si>
  <si>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</si>
  <si>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</si>
  <si>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</si>
  <si>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</si>
  <si>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</si>
  <si>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</si>
  <si>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</si>
  <si>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</si>
  <si>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</si>
  <si>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</si>
  <si>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</si>
  <si>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</si>
  <si>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</si>
  <si>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</si>
  <si>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</si>
  <si>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</si>
  <si>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</si>
  <si>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</si>
  <si>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</si>
  <si>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</si>
  <si>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</si>
  <si>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</si>
  <si>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</si>
  <si>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</si>
  <si>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</si>
  <si>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</si>
  <si>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</si>
  <si>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</si>
  <si>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</si>
  <si>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</si>
  <si>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</si>
  <si>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</si>
  <si>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</si>
  <si>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</si>
  <si>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</si>
  <si>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</si>
  <si>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</si>
  <si>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</si>
  <si>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</si>
  <si>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</si>
  <si>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</si>
  <si>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</si>
  <si>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</si>
  <si>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</si>
  <si>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</si>
  <si>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</si>
  <si>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</si>
  <si>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</si>
  <si>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</si>
  <si>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</si>
  <si>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</si>
  <si>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</si>
  <si>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</si>
  <si>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</si>
  <si>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</si>
  <si>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</si>
  <si>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</si>
  <si>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</si>
  <si>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</si>
  <si>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</si>
  <si>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</si>
  <si>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</si>
  <si>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</si>
  <si>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</si>
  <si>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</si>
  <si>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</si>
  <si>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</si>
  <si>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</si>
  <si>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</si>
  <si>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</si>
  <si>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</si>
  <si>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</si>
  <si>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</si>
  <si>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</si>
  <si>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</si>
  <si>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</si>
  <si>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</si>
  <si>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</si>
  <si>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</si>
  <si>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</si>
  <si>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</si>
  <si>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</si>
  <si>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</si>
  <si>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</si>
  <si>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</si>
  <si>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</si>
  <si>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</si>
  <si>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</si>
  <si>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</si>
  <si>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</si>
  <si>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</si>
  <si>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</si>
  <si>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</si>
  <si>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</si>
  <si>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</si>
  <si>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</si>
  <si>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</si>
  <si>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</si>
  <si>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</si>
  <si>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</si>
  <si>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</si>
  <si>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</si>
  <si>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</si>
  <si>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</si>
  <si>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</si>
  <si>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</si>
  <si>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</si>
  <si>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</si>
  <si>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</si>
  <si>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</si>
  <si>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</si>
  <si>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</si>
  <si>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</si>
  <si>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</si>
  <si>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</si>
  <si>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</si>
  <si>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</si>
  <si>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</si>
  <si>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</si>
  <si>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</si>
  <si>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</si>
  <si>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</si>
  <si>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</si>
  <si>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</si>
  <si>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</si>
  <si>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</si>
  <si>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</si>
  <si>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</si>
  <si>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</si>
  <si>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</si>
  <si>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</si>
  <si>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</si>
  <si>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</si>
  <si>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</si>
  <si>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</si>
  <si>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</si>
  <si>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</si>
  <si>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</si>
  <si>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</si>
  <si>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</si>
  <si>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</si>
  <si>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</si>
  <si>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</si>
  <si>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</si>
  <si>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</si>
  <si>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</si>
  <si>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</si>
  <si>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</si>
  <si>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</si>
  <si>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</si>
  <si>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</si>
  <si>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</si>
  <si>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</si>
  <si>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</si>
  <si>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</si>
  <si>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</si>
  <si>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</si>
  <si>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</si>
  <si>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</si>
  <si>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</si>
  <si>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</si>
  <si>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</si>
  <si>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</si>
  <si>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</si>
  <si>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</si>
  <si>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</si>
  <si>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</si>
  <si>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</si>
  <si>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</si>
  <si>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</si>
  <si>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</si>
  <si>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</si>
  <si>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</si>
  <si>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</si>
  <si>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</si>
  <si>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</si>
  <si>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</si>
  <si>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</si>
  <si>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</si>
  <si>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</si>
  <si>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</si>
  <si>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</si>
  <si>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</si>
  <si>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</si>
  <si>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</si>
  <si>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</si>
  <si>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</si>
  <si>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</si>
  <si>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</si>
  <si>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</si>
  <si>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</si>
  <si>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</si>
  <si>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</si>
  <si>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</si>
  <si>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</si>
  <si>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</si>
  <si>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</si>
  <si>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</si>
  <si>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</si>
  <si>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</si>
  <si>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</si>
  <si>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</si>
  <si>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</si>
  <si>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</si>
  <si>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</si>
  <si>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</si>
  <si>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</si>
  <si>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</si>
  <si>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</si>
  <si>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</si>
  <si>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</si>
  <si>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</si>
  <si>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</si>
  <si>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</si>
  <si>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</si>
  <si>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</si>
  <si>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</si>
  <si>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</si>
  <si>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</si>
  <si>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</si>
  <si>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</si>
  <si>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</si>
  <si>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</si>
  <si>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</si>
  <si>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</si>
  <si>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</si>
  <si>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</si>
  <si>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</si>
  <si>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</si>
  <si>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</si>
  <si>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</si>
  <si>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</si>
  <si>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</si>
  <si>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</si>
  <si>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</si>
  <si>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</si>
  <si>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</si>
  <si>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</si>
  <si>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</si>
  <si>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</si>
  <si>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</si>
  <si>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</si>
  <si>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</si>
  <si>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</si>
  <si>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</si>
  <si>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</si>
  <si>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</si>
  <si>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</si>
  <si>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</si>
  <si>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</si>
  <si>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</si>
  <si>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</si>
  <si>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</si>
  <si>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</si>
  <si>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</si>
  <si>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</si>
  <si>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</si>
  <si>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</si>
  <si>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</si>
  <si>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</si>
  <si>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</si>
  <si>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</si>
  <si>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</si>
  <si>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</si>
  <si>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</si>
  <si>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</si>
  <si>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</si>
  <si>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</si>
  <si>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</si>
  <si>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</si>
  <si>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</si>
  <si>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</si>
  <si>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</si>
  <si>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</si>
  <si>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</si>
  <si>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</si>
  <si>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</si>
  <si>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</si>
  <si>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</si>
  <si>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</si>
  <si>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</si>
  <si>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</si>
  <si>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</si>
  <si>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</si>
  <si>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</si>
  <si>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</si>
  <si>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</si>
  <si>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</si>
  <si>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</si>
  <si>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</si>
  <si>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</si>
  <si>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</si>
  <si>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</si>
  <si>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</si>
  <si>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</si>
  <si>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</si>
  <si>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</si>
  <si>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</si>
  <si>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</si>
  <si>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</si>
  <si>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</si>
  <si>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</si>
  <si>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</si>
  <si>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</si>
  <si>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</si>
  <si>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</si>
  <si>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</si>
  <si>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</si>
  <si>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</si>
  <si>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</si>
  <si>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</si>
  <si>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</si>
  <si>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</si>
  <si>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</si>
  <si>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</si>
  <si>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</si>
  <si>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</si>
  <si>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</si>
  <si>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</si>
  <si>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</si>
  <si>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</si>
  <si>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</si>
  <si>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</si>
  <si>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</si>
  <si>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</si>
  <si>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</si>
  <si>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</si>
  <si>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</si>
  <si>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</si>
  <si>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</si>
  <si>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</si>
  <si>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</si>
  <si>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</si>
  <si>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</si>
  <si>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</si>
  <si>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</si>
  <si>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</si>
  <si>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</si>
  <si>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</si>
  <si>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</si>
  <si>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</si>
  <si>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</si>
  <si>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</si>
  <si>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</si>
  <si>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</si>
  <si>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</si>
  <si>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</si>
  <si>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</si>
  <si>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</si>
  <si>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</si>
  <si>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</si>
  <si>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</si>
  <si>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</si>
  <si>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</si>
  <si>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</si>
  <si>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</si>
  <si>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</si>
  <si>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</si>
  <si>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</si>
  <si>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</si>
  <si>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</si>
  <si>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</si>
  <si>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</si>
  <si>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</si>
  <si>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</si>
  <si>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</si>
  <si>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</si>
  <si>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</si>
  <si>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</si>
  <si>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</si>
  <si>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</si>
  <si>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</si>
  <si>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</si>
  <si>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</si>
  <si>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</si>
  <si>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</si>
  <si>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</si>
  <si>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</si>
  <si>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</si>
  <si>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</si>
  <si>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</si>
  <si>
    <t>G0990</t>
  </si>
  <si>
    <t>DEPENSE IMPOT</t>
  </si>
  <si>
    <t>G22175</t>
  </si>
  <si>
    <t>AVANCE VOLKSWAGEN BROSSAR</t>
  </si>
  <si>
    <t>G22186</t>
  </si>
  <si>
    <t>AVANCE 9548-3442 QC INC</t>
  </si>
  <si>
    <t>G36006</t>
  </si>
  <si>
    <t>ACTIONS F</t>
  </si>
  <si>
    <t>G36100</t>
  </si>
  <si>
    <t>AJUST ACTIONS RACHETABLE</t>
  </si>
  <si>
    <t>Solde AAD - Décembre</t>
  </si>
  <si>
    <t>Impôt</t>
  </si>
  <si>
    <t>Profit Net après impôt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</si>
</sst>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8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2"/>
      <color theme="1"/>
      <name val="Arial mt"/>
    </font>
    <font>
      <b/>
      <sz val="12"/>
      <color theme="1"/>
      <name val="Arial mt"/>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9">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style="thick">
        <color rgb="FF000000"/>
      </left>
      <right style="thin">
        <color indexed="64"/>
      </right>
      <top style="thick">
        <color rgb="FF000000"/>
      </top>
      <bottom/>
      <diagonal/>
    </border>
    <border>
      <left style="thick">
        <color rgb="FF000000"/>
      </left>
      <right style="thin">
        <color indexed="64"/>
      </right>
      <top/>
      <bottom/>
      <diagonal/>
    </border>
    <border>
      <left style="thick">
        <color indexed="64"/>
      </left>
      <right/>
      <top style="thick">
        <color rgb="FF000000"/>
      </top>
      <bottom style="thick">
        <color indexed="64"/>
      </bottom>
      <diagonal/>
    </border>
    <border>
      <left/>
      <right/>
      <top style="thick">
        <color rgb="FF000000"/>
      </top>
      <bottom style="thick">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n">
        <color indexed="64"/>
      </left>
      <right style="thin">
        <color rgb="FF000000"/>
      </right>
      <top style="thick">
        <color rgb="FF000000"/>
      </top>
      <bottom style="thick">
        <color indexed="64"/>
      </bottom>
      <diagonal/>
    </border>
    <border>
      <left style="medium">
        <color rgb="FF000000"/>
      </left>
      <right/>
      <top style="thick">
        <color rgb="FF000000"/>
      </top>
      <bottom style="thick">
        <color indexed="64"/>
      </bottom>
      <diagonal/>
    </border>
    <border>
      <left/>
      <right style="thick">
        <color indexed="64"/>
      </right>
      <top style="thick">
        <color rgb="FF000000"/>
      </top>
      <bottom style="thick">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96">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27" fillId="0" borderId="210" xfId="0" applyFont="1" applyBorder="1"/>
    <xf numFmtId="0" fontId="129" fillId="0" borderId="211" xfId="0" applyFont="1" applyBorder="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xf numFmtId="0" fontId="179" fillId="0" borderId="0" xfId="0" applyFont="1"/>
    <xf numFmtId="0" fontId="180" fillId="0" borderId="0" xfId="0" applyFont="1"/>
    <xf numFmtId="37" fontId="180" fillId="0" borderId="0" xfId="0" applyNumberFormat="1" applyFont="1"/>
    <xf numFmtId="0" fontId="131" fillId="3" borderId="212" xfId="0" applyFont="1" applyFill="1" applyBorder="1"/>
    <xf numFmtId="0" fontId="131" fillId="3" borderId="213" xfId="0" applyFont="1" applyFill="1" applyBorder="1"/>
    <xf numFmtId="0" fontId="131" fillId="3" borderId="213" xfId="0" applyFont="1" applyFill="1" applyBorder="1" applyAlignment="1">
      <alignment horizontal="center"/>
    </xf>
    <xf numFmtId="173" fontId="131" fillId="3" borderId="213" xfId="0" applyNumberFormat="1" applyFont="1" applyFill="1" applyBorder="1"/>
    <xf numFmtId="37" fontId="131" fillId="3" borderId="214" xfId="0" applyNumberFormat="1" applyFont="1" applyFill="1" applyBorder="1"/>
    <xf numFmtId="37" fontId="131" fillId="3" borderId="213" xfId="0" applyNumberFormat="1" applyFont="1" applyFill="1" applyBorder="1"/>
    <xf numFmtId="37" fontId="131" fillId="3" borderId="215" xfId="0" applyNumberFormat="1" applyFont="1" applyFill="1" applyBorder="1"/>
    <xf numFmtId="173" fontId="131" fillId="3" borderId="216" xfId="0" applyNumberFormat="1" applyFont="1" applyFill="1" applyBorder="1"/>
    <xf numFmtId="0" fontId="131" fillId="3" borderId="215" xfId="0" applyFont="1" applyFill="1" applyBorder="1" applyAlignment="1">
      <alignment horizontal="center"/>
    </xf>
    <xf numFmtId="37" fontId="131" fillId="3" borderId="217" xfId="0" applyNumberFormat="1" applyFont="1" applyFill="1" applyBorder="1"/>
    <xf numFmtId="173" fontId="131" fillId="3" borderId="218" xfId="0" applyNumberFormat="1" applyFont="1" applyFill="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5" sqref="B5"/>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1160</v>
      </c>
    </row>
    <row r="2" spans="1:14" ht="14.4">
      <c r="A2" s="1"/>
      <c r="G2" s="3"/>
      <c r="M2" s="4" t="s">
        <v>2</v>
      </c>
      <c r="N2" s="4" t="s">
        <v>3</v>
      </c>
    </row>
    <row r="3" spans="1:14" ht="14.4">
      <c r="A3" s="1" t="s">
        <v>4</v>
      </c>
      <c r="B3" s="2" t="s">
        <v>5</v>
      </c>
      <c r="C3" s="4">
        <f>+VLOOKUP(B3,$K$3:$L$14,2,0)</f>
        <v>12</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ht="14.4">
      <c r="A10" s="3" t="s">
        <v>1158</v>
      </c>
      <c r="I10" s="3"/>
      <c r="K10" s="5" t="s">
        <v>15</v>
      </c>
      <c r="L10" s="4">
        <v>8</v>
      </c>
      <c r="M10" s="4" t="str">
        <f t="shared" si="0"/>
        <v/>
      </c>
      <c r="N10" s="4" t="str">
        <f t="shared" si="1"/>
        <v>X</v>
      </c>
    </row>
    <row r="11" spans="1:14" ht="14.4">
      <c r="A11" s="3" t="s">
        <v>16</v>
      </c>
      <c r="I11" s="3"/>
      <c r="K11" s="5" t="s">
        <v>17</v>
      </c>
      <c r="L11" s="4">
        <v>9</v>
      </c>
      <c r="M11" s="4" t="str">
        <f t="shared" si="0"/>
        <v/>
      </c>
      <c r="N11" s="4" t="str">
        <f t="shared" si="1"/>
        <v>X</v>
      </c>
    </row>
    <row r="12" spans="1:14" ht="14.4">
      <c r="A12" s="3"/>
      <c r="I12" s="3"/>
      <c r="K12" s="5" t="s">
        <v>18</v>
      </c>
      <c r="L12" s="4">
        <v>10</v>
      </c>
      <c r="M12" s="4" t="str">
        <f t="shared" si="0"/>
        <v/>
      </c>
      <c r="N12" s="4" t="str">
        <f t="shared" si="1"/>
        <v>X</v>
      </c>
    </row>
    <row r="13" spans="1:14" ht="14.4">
      <c r="A13" s="3"/>
      <c r="I13" s="3"/>
      <c r="K13" s="5" t="s">
        <v>19</v>
      </c>
      <c r="L13" s="4">
        <v>11</v>
      </c>
      <c r="M13" s="4" t="str">
        <f t="shared" si="0"/>
        <v/>
      </c>
      <c r="N13" s="4" t="str">
        <f t="shared" si="1"/>
        <v>X</v>
      </c>
    </row>
    <row r="14" spans="1:14" ht="14.4">
      <c r="A14" s="3"/>
      <c r="I14" s="3"/>
      <c r="K14" s="5" t="s">
        <v>5</v>
      </c>
      <c r="L14" s="4">
        <v>12</v>
      </c>
      <c r="M14" s="4" t="str">
        <f t="shared" si="0"/>
        <v>X</v>
      </c>
      <c r="N14" s="4" t="str">
        <f t="shared" si="1"/>
        <v>X</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5616208.6699999999</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5616208.6699999999</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788592.11</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34777.629999999976</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-56965.440000000002</v>
      </c>
      <c r="C10" s="14"/>
      <c r="D10" s="18" t="s">
        <v>29</v>
      </c>
      <c r="E10" s="19">
        <f>-SUMIFS(BV_Data_An_Cour!$AN:$AN,BV_Data_An_Cour!$AP:$AP,$A$1,BV_Data_An_Cour!$AQ:$AQ,$D10)</f>
        <v>5711191.1799999997</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760891.2</v>
      </c>
      <c r="C11" s="14"/>
      <c r="D11" s="18" t="s">
        <v>31</v>
      </c>
      <c r="E11" s="19">
        <f>-SUMIFS(BV_Data_An_Cour!$AN:$AN,BV_Data_An_Cour!$AP:$AP,$A$1,BV_Data_An_Cour!$AQ:$AQ,$D11)</f>
        <v>-1695265.1099999999</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-9284.43</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35501.4</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9552859.9199999981</v>
      </c>
      <c r="C14" s="14"/>
      <c r="D14" s="18" t="s">
        <v>37</v>
      </c>
      <c r="E14" s="19">
        <f>-SUMIFS(BV_Data_An_Cour!$AN:$AN,BV_Data_An_Cour!$AP:$AP,$A$1,BV_Data_An_Cour!$AQ:$AQ,$D14)</f>
        <v>9732219.5600000005</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712073.65999999992</v>
      </c>
      <c r="C15" s="14"/>
      <c r="D15" s="18" t="s">
        <v>39</v>
      </c>
      <c r="E15" s="19">
        <f>-SUMIFS(BV_Data_An_Cour!$AN:$AN,BV_Data_An_Cour!$AP:$AP,$A$1,BV_Data_An_Cour!$AQ:$AQ,$D15)</f>
        <v>-57803.76</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11818446.049999999</v>
      </c>
      <c r="C16" s="17"/>
      <c r="D16" s="15" t="s">
        <v>41</v>
      </c>
      <c r="E16" s="16">
        <f>+SUM(E10:E15)</f>
        <v>13690341.870000001</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27819233.390000001</v>
      </c>
      <c r="C18" s="14"/>
      <c r="D18" s="18" t="s">
        <v>43</v>
      </c>
      <c r="E18" s="19">
        <f>-SUMIFS(BV_Data_An_Cour!$AN:$AN,BV_Data_An_Cour!$AP:$AP,$A$1,BV_Data_An_Cour!$AQ:$AQ,$D18)</f>
        <v>27796997.760000002</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21035623.170000002</v>
      </c>
      <c r="C19" s="14"/>
      <c r="D19" s="18" t="s">
        <v>45</v>
      </c>
      <c r="E19" s="19">
        <f>-SUMIFS(BV_Data_An_Cour!$AN:$AN,BV_Data_An_Cour!$AP:$AP,$A$1,BV_Data_An_Cour!$AQ:$AQ,$D19)</f>
        <v>19316937.27</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651553.54</v>
      </c>
      <c r="C20" s="14"/>
      <c r="D20" s="15" t="s">
        <v>47</v>
      </c>
      <c r="E20" s="16">
        <f>+SUM(E18:E19)</f>
        <v>47113935.030000001</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49506410.100000001</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-2262416.7600000002</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7093.33</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5681.2099999999991</v>
      </c>
      <c r="C24" s="14"/>
      <c r="D24" s="18" t="s">
        <v>53</v>
      </c>
      <c r="E24" s="19">
        <f>-SUMIFS(BV_Data_An_Cour!$AN:$AN,BV_Data_An_Cour!$AP:$AP,$A$1,BV_Data_An_Cour!$AQ:$AQ,$D24)</f>
        <v>264053.14999999997</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26584.489999999998</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-61145.459999999963</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-1991270.2800000003</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-28879.759999999966</v>
      </c>
      <c r="C30" s="17"/>
      <c r="D30" s="21" t="s">
        <v>59</v>
      </c>
      <c r="E30" s="22">
        <f>+E5+E7+E16+E20+E28</f>
        <v>58813006.620000005</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66912185.060000002</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88167</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133959.44</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366219.78</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52630.739999999991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66748.34</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88167</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6707.0999999999985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626265.39999999991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58901173.620000005</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9999245.0000000075</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641172.54999999993</v>
      </c>
      <c r="C53" s="17"/>
      <c r="D53" s="21" t="s">
        <v>85</v>
      </c>
      <c r="E53" s="22">
        <f>SUM(E48:E51)</f>
        <v>9999481.0000000075</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67553357.609999999</v>
      </c>
      <c r="C56" s="17"/>
      <c r="D56" s="21" t="s">
        <v>87</v>
      </c>
      <c r="E56" s="22">
        <f>+E53+E45</f>
        <v>68900654.620000005</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-1347297.0100000054</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X</v>
      </c>
      <c r="AN2" s="32" t="str">
        <f>+IF(Parametres!$B$3=AM$6,"O","")</f>
        <v>O</v>
      </c>
      <c r="AO2" s="32"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4" t="s">
        <v>1101</v>
      </c>
      <c r="D6" s="1055"/>
      <c r="E6" s="1056"/>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4">
        <v>2021</v>
      </c>
      <c r="D94" s="1055"/>
      <c r="E94" s="1056"/>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4"/>
      <c r="D173" s="1055"/>
      <c r="E173" s="1056"/>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4"/>
      <c r="D241" s="1055"/>
      <c r="E241" s="1056"/>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4"/>
      <c r="D296" s="1055"/>
      <c r="E296" s="1056"/>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4"/>
      <c r="D361" s="1055"/>
      <c r="E361" s="1056"/>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4"/>
      <c r="D407" s="1055"/>
      <c r="E407" s="1056"/>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X</v>
      </c>
      <c r="AN2" s="32" t="str">
        <f>+IF(Parametres!$B$3=AM$6,"O","")</f>
        <v>O</v>
      </c>
      <c r="AO2" s="32"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REEL</v>
      </c>
      <c r="Q3" s="95" t="str">
        <f>+IF(VLOOKUP(Q2,Parametres!$L$3:$N$14,3,0)="X","REEL","FORECAST")</f>
        <v>REEL</v>
      </c>
      <c r="R3" s="95" t="str">
        <f>+IF(VLOOKUP(R2,Parametres!$L$3:$N$14,3,0)="X","REEL","FORECAST")</f>
        <v>REEL</v>
      </c>
      <c r="S3" s="95" t="str">
        <f>+IF(VLOOKUP(S2,Parametres!$L$3:$N$14,3,0)="X","REEL","FORECAST")</f>
        <v>REEL</v>
      </c>
      <c r="T3" s="3"/>
      <c r="U3" s="3"/>
      <c r="V3" s="3"/>
      <c r="W3" s="3"/>
      <c r="X3" s="3"/>
      <c r="Y3" s="3"/>
      <c r="Z3" s="3"/>
    </row>
    <row r="4" spans="1:26" ht="30" customHeight="1">
      <c r="A4" s="1057" t="s">
        <v>224</v>
      </c>
      <c r="B4" s="1057"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8"/>
      <c r="B5" s="1058"/>
      <c r="C5" s="1059" t="s">
        <v>244</v>
      </c>
      <c r="D5" s="1060"/>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4" t="str">
        <f>Parametres!$B$1&amp;" "&amp;"2 pager"&amp;" "&amp;Parametres!$B$3&amp;" "&amp;Parametres!$B$4</f>
        <v>Ste-Marie Auto 2 pager Décembre 2025</v>
      </c>
      <c r="C1" s="1065"/>
      <c r="D1" s="1065"/>
      <c r="E1" s="1065"/>
      <c r="F1" s="1065"/>
      <c r="G1" s="1065"/>
      <c r="H1" s="1065"/>
      <c r="I1" s="1065"/>
      <c r="J1" s="1065"/>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54</v>
      </c>
      <c r="D4" s="155">
        <f>+Print_Mois!$D$13+Print_Mois!$D$15</f>
        <v>0</v>
      </c>
      <c r="E4" s="155">
        <f>+Print_Mois!$O$13+Print_Mois!$O$15</f>
        <v>0</v>
      </c>
      <c r="F4" s="156">
        <f t="shared" ref="F4:F15" si="0">+IFERROR($C4-D4,"")</f>
        <v>54</v>
      </c>
      <c r="G4" s="157">
        <f t="shared" ref="G4:G15" si="1">+IFERROR($C4-E4,"")</f>
        <v>54</v>
      </c>
      <c r="H4" s="158" t="str">
        <f t="shared" ref="H4:H15" si="2">+IFERROR(F4/ABS($D4),"")</f>
        <v/>
      </c>
      <c r="I4" s="159" t="str">
        <f t="shared" ref="I4:I15" si="3">+IFERROR(G4/ABS($E4),"")</f>
        <v/>
      </c>
      <c r="J4" s="1061" t="s">
        <v>1088</v>
      </c>
      <c r="K4" s="3"/>
      <c r="L4" s="3"/>
      <c r="M4" s="3"/>
      <c r="N4" s="3"/>
      <c r="O4" s="3"/>
      <c r="P4" s="3"/>
      <c r="Q4" s="3"/>
      <c r="R4" s="3"/>
      <c r="S4" s="3"/>
      <c r="T4" s="3"/>
      <c r="U4" s="3"/>
      <c r="V4" s="3"/>
      <c r="W4" s="3"/>
    </row>
    <row r="5" spans="1:23" ht="14.4">
      <c r="A5" s="3"/>
      <c r="B5" s="160" t="s">
        <v>287</v>
      </c>
      <c r="C5" s="161">
        <f>+Print_Mois!$L$13+Print_Mois!$L$15</f>
        <v>80534.510000000242</v>
      </c>
      <c r="D5" s="161">
        <f>+Print_Mois!$F$13+Print_Mois!$F$15</f>
        <v>0</v>
      </c>
      <c r="E5" s="161">
        <f>+Print_Mois!$Q$13+Print_Mois!$Q$15</f>
        <v>0</v>
      </c>
      <c r="F5" s="162">
        <f t="shared" si="0"/>
        <v>80534.510000000242</v>
      </c>
      <c r="G5" s="163">
        <f t="shared" si="1"/>
        <v>80534.510000000242</v>
      </c>
      <c r="H5" s="165" t="str">
        <f t="shared" si="2"/>
        <v/>
      </c>
      <c r="I5" s="166" t="str">
        <f t="shared" si="3"/>
        <v/>
      </c>
      <c r="J5" s="1062"/>
      <c r="K5" s="3"/>
      <c r="L5" s="3"/>
      <c r="M5" s="3"/>
      <c r="N5" s="3"/>
      <c r="O5" s="3"/>
      <c r="P5" s="3"/>
      <c r="Q5" s="3"/>
      <c r="R5" s="3"/>
      <c r="S5" s="3"/>
      <c r="T5" s="3"/>
      <c r="U5" s="3"/>
      <c r="V5" s="3"/>
      <c r="W5" s="3"/>
    </row>
    <row r="6" spans="1:23" ht="14.4">
      <c r="A6" s="3"/>
      <c r="B6" s="160" t="s">
        <v>288</v>
      </c>
      <c r="C6" s="161">
        <f t="shared" ref="C6:E6" si="4">+C5/C4</f>
        <v>1491.3798148148194</v>
      </c>
      <c r="D6" s="161" t="e">
        <f t="shared" si="4"/>
        <v>#DIV/0!</v>
      </c>
      <c r="E6" s="161" t="e">
        <f t="shared" si="4"/>
        <v>#DIV/0!</v>
      </c>
      <c r="F6" s="162" t="str">
        <f t="shared" si="0"/>
        <v/>
      </c>
      <c r="G6" s="163" t="str">
        <f t="shared" si="1"/>
        <v/>
      </c>
      <c r="H6" s="165" t="str">
        <f t="shared" si="2"/>
        <v/>
      </c>
      <c r="I6" s="166" t="str">
        <f t="shared" si="3"/>
        <v/>
      </c>
      <c r="J6" s="1062"/>
      <c r="K6" s="3"/>
      <c r="L6" s="3"/>
      <c r="M6" s="3"/>
      <c r="N6" s="3"/>
      <c r="O6" s="3"/>
      <c r="P6" s="3"/>
      <c r="Q6" s="3"/>
      <c r="R6" s="3"/>
      <c r="S6" s="3"/>
      <c r="T6" s="3"/>
      <c r="U6" s="3"/>
      <c r="V6" s="3"/>
      <c r="W6" s="3"/>
    </row>
    <row r="7" spans="1:23" ht="14.4">
      <c r="A7" s="3"/>
      <c r="B7" s="160" t="s">
        <v>289</v>
      </c>
      <c r="C7" s="161">
        <f>+Print_Mois!$L$31</f>
        <v>40586.540000000037</v>
      </c>
      <c r="D7" s="161">
        <f>+Print_Mois!$F$31</f>
        <v>0</v>
      </c>
      <c r="E7" s="161">
        <f>+Print_Mois!$Q$31</f>
        <v>0</v>
      </c>
      <c r="F7" s="162">
        <f t="shared" si="0"/>
        <v>40586.540000000037</v>
      </c>
      <c r="G7" s="163">
        <f t="shared" si="1"/>
        <v>40586.540000000037</v>
      </c>
      <c r="H7" s="165" t="str">
        <f t="shared" si="2"/>
        <v/>
      </c>
      <c r="I7" s="166" t="str">
        <f t="shared" si="3"/>
        <v/>
      </c>
      <c r="J7" s="1062"/>
      <c r="K7" s="3"/>
      <c r="L7" s="3"/>
      <c r="M7" s="3"/>
      <c r="N7" s="3"/>
      <c r="O7" s="3"/>
      <c r="P7" s="3"/>
      <c r="Q7" s="3"/>
      <c r="R7" s="3"/>
      <c r="S7" s="3"/>
      <c r="T7" s="3"/>
      <c r="U7" s="3"/>
      <c r="V7" s="3"/>
      <c r="W7" s="3"/>
    </row>
    <row r="8" spans="1:23" ht="14.4">
      <c r="A8" s="3"/>
      <c r="B8" s="160" t="s">
        <v>290</v>
      </c>
      <c r="C8" s="164">
        <f t="shared" ref="C8:E8" si="5">+C7/C5</f>
        <v>0.50396457369641801</v>
      </c>
      <c r="D8" s="164" t="e">
        <f t="shared" si="5"/>
        <v>#DIV/0!</v>
      </c>
      <c r="E8" s="164" t="e">
        <f t="shared" si="5"/>
        <v>#DIV/0!</v>
      </c>
      <c r="F8" s="167" t="str">
        <f t="shared" si="0"/>
        <v/>
      </c>
      <c r="G8" s="168" t="str">
        <f t="shared" si="1"/>
        <v/>
      </c>
      <c r="H8" s="165" t="str">
        <f t="shared" si="2"/>
        <v/>
      </c>
      <c r="I8" s="166" t="str">
        <f t="shared" si="3"/>
        <v/>
      </c>
      <c r="J8" s="1062"/>
      <c r="K8" s="3"/>
      <c r="L8" s="3"/>
      <c r="M8" s="3"/>
      <c r="N8" s="3"/>
      <c r="O8" s="3"/>
      <c r="P8" s="3"/>
      <c r="Q8" s="3"/>
      <c r="R8" s="3"/>
      <c r="S8" s="3"/>
      <c r="T8" s="3"/>
      <c r="U8" s="3"/>
      <c r="V8" s="3"/>
      <c r="W8" s="3"/>
    </row>
    <row r="9" spans="1:23" ht="14.4">
      <c r="A9" s="3"/>
      <c r="B9" s="160" t="s">
        <v>291</v>
      </c>
      <c r="C9" s="161">
        <f>+Print_Mois!$L$24</f>
        <v>36941.919999999925</v>
      </c>
      <c r="D9" s="161">
        <f>+Print_Mois!$F$24</f>
        <v>0</v>
      </c>
      <c r="E9" s="161">
        <f>+Print_Mois!$Q$24</f>
        <v>0</v>
      </c>
      <c r="F9" s="162">
        <f t="shared" si="0"/>
        <v>36941.919999999925</v>
      </c>
      <c r="G9" s="163">
        <f t="shared" si="1"/>
        <v>36941.919999999925</v>
      </c>
      <c r="H9" s="165" t="str">
        <f t="shared" si="2"/>
        <v/>
      </c>
      <c r="I9" s="166" t="str">
        <f t="shared" si="3"/>
        <v/>
      </c>
      <c r="J9" s="1062"/>
      <c r="K9" s="3"/>
      <c r="L9" s="3"/>
      <c r="M9" s="3"/>
      <c r="N9" s="3"/>
      <c r="O9" s="3"/>
      <c r="P9" s="3"/>
      <c r="Q9" s="3"/>
      <c r="R9" s="3"/>
      <c r="S9" s="3"/>
      <c r="T9" s="3"/>
      <c r="U9" s="3"/>
      <c r="V9" s="3"/>
      <c r="W9" s="3"/>
    </row>
    <row r="10" spans="1:23" ht="14.4">
      <c r="A10" s="3"/>
      <c r="B10" s="160" t="s">
        <v>292</v>
      </c>
      <c r="C10" s="161">
        <f t="shared" ref="C10:E10" si="6">+C9/C4</f>
        <v>684.10962962962822</v>
      </c>
      <c r="D10" s="161" t="e">
        <f t="shared" si="6"/>
        <v>#DIV/0!</v>
      </c>
      <c r="E10" s="161" t="e">
        <f t="shared" si="6"/>
        <v>#DIV/0!</v>
      </c>
      <c r="F10" s="162" t="str">
        <f t="shared" si="0"/>
        <v/>
      </c>
      <c r="G10" s="163" t="str">
        <f t="shared" si="1"/>
        <v/>
      </c>
      <c r="H10" s="165" t="str">
        <f t="shared" si="2"/>
        <v/>
      </c>
      <c r="I10" s="166" t="str">
        <f t="shared" si="3"/>
        <v/>
      </c>
      <c r="J10" s="1062"/>
      <c r="K10" s="3"/>
      <c r="L10" s="3"/>
      <c r="M10" s="3"/>
      <c r="N10" s="3"/>
      <c r="O10" s="3"/>
      <c r="P10" s="3"/>
      <c r="Q10" s="3"/>
      <c r="R10" s="3"/>
      <c r="S10" s="3"/>
      <c r="T10" s="3"/>
      <c r="U10" s="3"/>
      <c r="V10" s="3"/>
      <c r="W10" s="3"/>
    </row>
    <row r="11" spans="1:23" ht="14.4">
      <c r="A11" s="3"/>
      <c r="B11" s="160" t="s">
        <v>293</v>
      </c>
      <c r="C11" s="161">
        <f>+Print_Mois!$L$32</f>
        <v>12050.589999999997</v>
      </c>
      <c r="D11" s="161">
        <f>+Print_Mois!$F$32</f>
        <v>0</v>
      </c>
      <c r="E11" s="161">
        <f>+Print_Mois!$Q$32</f>
        <v>0</v>
      </c>
      <c r="F11" s="162">
        <f t="shared" si="0"/>
        <v>12050.589999999997</v>
      </c>
      <c r="G11" s="163">
        <f t="shared" si="1"/>
        <v>12050.589999999997</v>
      </c>
      <c r="H11" s="165" t="str">
        <f t="shared" si="2"/>
        <v/>
      </c>
      <c r="I11" s="166" t="str">
        <f t="shared" si="3"/>
        <v/>
      </c>
      <c r="J11" s="1062"/>
      <c r="K11" s="3"/>
      <c r="L11" s="3"/>
      <c r="M11" s="3"/>
      <c r="N11" s="3"/>
      <c r="O11" s="3"/>
      <c r="P11" s="3"/>
      <c r="Q11" s="3"/>
      <c r="R11" s="3"/>
      <c r="S11" s="3"/>
      <c r="T11" s="3"/>
      <c r="U11" s="3"/>
      <c r="V11" s="3"/>
      <c r="W11" s="3"/>
    </row>
    <row r="12" spans="1:23" ht="14.4">
      <c r="A12" s="3"/>
      <c r="B12" s="160" t="s">
        <v>294</v>
      </c>
      <c r="C12" s="164">
        <f t="shared" ref="C12:E12" si="7">+C11/C9</f>
        <v>0.3262036732254312</v>
      </c>
      <c r="D12" s="164" t="e">
        <f t="shared" si="7"/>
        <v>#DIV/0!</v>
      </c>
      <c r="E12" s="164" t="e">
        <f t="shared" si="7"/>
        <v>#DIV/0!</v>
      </c>
      <c r="F12" s="165" t="str">
        <f t="shared" si="0"/>
        <v/>
      </c>
      <c r="G12" s="169" t="str">
        <f t="shared" si="1"/>
        <v/>
      </c>
      <c r="H12" s="165" t="str">
        <f t="shared" si="2"/>
        <v/>
      </c>
      <c r="I12" s="166" t="str">
        <f t="shared" si="3"/>
        <v/>
      </c>
      <c r="J12" s="1062"/>
      <c r="K12" s="3"/>
      <c r="L12" s="3"/>
      <c r="M12" s="3"/>
      <c r="N12" s="3"/>
      <c r="O12" s="3"/>
      <c r="P12" s="3"/>
      <c r="Q12" s="3"/>
      <c r="R12" s="3"/>
      <c r="S12" s="3"/>
      <c r="T12" s="3"/>
      <c r="U12" s="3"/>
      <c r="V12" s="3"/>
      <c r="W12" s="3"/>
    </row>
    <row r="13" spans="1:23" ht="14.4">
      <c r="A13" s="3"/>
      <c r="B13" s="160" t="s">
        <v>295</v>
      </c>
      <c r="C13" s="161">
        <f>+Print_Mois!$L$41-C7-C11</f>
        <v>-292136.19999999972</v>
      </c>
      <c r="D13" s="161">
        <f>+Print_Mois!$F$41-D7-D11</f>
        <v>0</v>
      </c>
      <c r="E13" s="161">
        <f>+Print_Mois!$Q$41-E7-E11</f>
        <v>0</v>
      </c>
      <c r="F13" s="162">
        <f t="shared" si="0"/>
        <v>-292136.19999999972</v>
      </c>
      <c r="G13" s="163">
        <f t="shared" si="1"/>
        <v>-292136.19999999972</v>
      </c>
      <c r="H13" s="165" t="str">
        <f t="shared" si="2"/>
        <v/>
      </c>
      <c r="I13" s="166" t="str">
        <f t="shared" si="3"/>
        <v/>
      </c>
      <c r="J13" s="1062"/>
      <c r="K13" s="3"/>
      <c r="L13" s="3"/>
      <c r="M13" s="3"/>
      <c r="N13" s="3"/>
      <c r="O13" s="3"/>
      <c r="P13" s="3"/>
      <c r="Q13" s="3"/>
      <c r="R13" s="3"/>
      <c r="S13" s="3"/>
      <c r="T13" s="3"/>
      <c r="U13" s="3"/>
      <c r="V13" s="3"/>
      <c r="W13" s="3"/>
    </row>
    <row r="14" spans="1:23" ht="14.4">
      <c r="A14" s="3"/>
      <c r="B14" s="160" t="s">
        <v>296</v>
      </c>
      <c r="C14" s="161">
        <f t="shared" ref="C14:E14" si="8">+C13/C4</f>
        <v>-5409.9296296296243</v>
      </c>
      <c r="D14" s="161" t="e">
        <f t="shared" si="8"/>
        <v>#DIV/0!</v>
      </c>
      <c r="E14" s="161" t="e">
        <f t="shared" si="8"/>
        <v>#DIV/0!</v>
      </c>
      <c r="F14" s="162" t="str">
        <f t="shared" si="0"/>
        <v/>
      </c>
      <c r="G14" s="163" t="str">
        <f t="shared" si="1"/>
        <v/>
      </c>
      <c r="H14" s="165" t="str">
        <f t="shared" si="2"/>
        <v/>
      </c>
      <c r="I14" s="166" t="str">
        <f t="shared" si="3"/>
        <v/>
      </c>
      <c r="J14" s="1062"/>
      <c r="K14" s="3"/>
      <c r="L14" s="3"/>
      <c r="M14" s="3"/>
      <c r="N14" s="3"/>
      <c r="O14" s="3"/>
      <c r="P14" s="3"/>
      <c r="Q14" s="3"/>
      <c r="R14" s="3"/>
      <c r="S14" s="3"/>
      <c r="T14" s="3"/>
      <c r="U14" s="3"/>
      <c r="V14" s="3"/>
      <c r="W14" s="3"/>
    </row>
    <row r="15" spans="1:23" ht="14.4">
      <c r="A15" s="3"/>
      <c r="B15" s="160" t="s">
        <v>297</v>
      </c>
      <c r="C15" s="161">
        <f>+Print_Mois!$L$83</f>
        <v>5621.929999999993</v>
      </c>
      <c r="D15" s="161">
        <f>+Print_Mois!$F$83</f>
        <v>0</v>
      </c>
      <c r="E15" s="161">
        <f>+Print_Mois!$Q$83</f>
        <v>0</v>
      </c>
      <c r="F15" s="162">
        <f t="shared" si="0"/>
        <v>5621.929999999993</v>
      </c>
      <c r="G15" s="163">
        <f t="shared" si="1"/>
        <v>5621.929999999993</v>
      </c>
      <c r="H15" s="165" t="str">
        <f t="shared" si="2"/>
        <v/>
      </c>
      <c r="I15" s="166" t="str">
        <f t="shared" si="3"/>
        <v/>
      </c>
      <c r="J15" s="1062"/>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2"/>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2"/>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3"/>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15</v>
      </c>
      <c r="D21" s="155">
        <f>+Print_Mois!$D$97</f>
        <v>0</v>
      </c>
      <c r="E21" s="155">
        <f>+Print_Mois!$O$97</f>
        <v>0</v>
      </c>
      <c r="F21" s="156">
        <f t="shared" ref="F21:F32" si="11">+IFERROR($C21-D21,"")</f>
        <v>15</v>
      </c>
      <c r="G21" s="157">
        <f t="shared" ref="G21:G32" si="12">+IFERROR($C21-E21,"")</f>
        <v>15</v>
      </c>
      <c r="H21" s="158" t="str">
        <f t="shared" ref="H21:H32" si="13">+IFERROR(F21/ABS($D21),"")</f>
        <v/>
      </c>
      <c r="I21" s="159" t="str">
        <f t="shared" ref="I21:I32" si="14">+IFERROR(G21/ABS($E21),"")</f>
        <v/>
      </c>
      <c r="J21" s="1061" t="s">
        <v>1089</v>
      </c>
      <c r="K21" s="3"/>
      <c r="L21" s="3"/>
      <c r="M21" s="3"/>
      <c r="N21" s="3"/>
      <c r="O21" s="3"/>
      <c r="P21" s="3"/>
      <c r="Q21" s="3"/>
      <c r="R21" s="3"/>
      <c r="S21" s="3"/>
      <c r="T21" s="3"/>
      <c r="U21" s="3"/>
      <c r="V21" s="3"/>
      <c r="W21" s="3"/>
    </row>
    <row r="22" spans="1:23" ht="15.75" customHeight="1">
      <c r="A22" s="3"/>
      <c r="B22" s="160" t="s">
        <v>287</v>
      </c>
      <c r="C22" s="161">
        <f>+Print_Mois!$L$97</f>
        <v>6927.0000000004657</v>
      </c>
      <c r="D22" s="161">
        <f>+Print_Mois!$F$97</f>
        <v>0</v>
      </c>
      <c r="E22" s="161">
        <f>+Print_Mois!$Q$97</f>
        <v>0</v>
      </c>
      <c r="F22" s="162">
        <f t="shared" si="11"/>
        <v>6927.0000000004657</v>
      </c>
      <c r="G22" s="163">
        <f t="shared" si="12"/>
        <v>6927.0000000004657</v>
      </c>
      <c r="H22" s="165" t="str">
        <f t="shared" si="13"/>
        <v/>
      </c>
      <c r="I22" s="166" t="str">
        <f t="shared" si="14"/>
        <v/>
      </c>
      <c r="J22" s="1062"/>
      <c r="K22" s="3"/>
      <c r="L22" s="3"/>
      <c r="M22" s="3"/>
      <c r="N22" s="3"/>
      <c r="O22" s="3"/>
      <c r="P22" s="3"/>
      <c r="Q22" s="3"/>
      <c r="R22" s="3"/>
      <c r="S22" s="3"/>
      <c r="T22" s="3"/>
      <c r="U22" s="3"/>
      <c r="V22" s="3"/>
      <c r="W22" s="3"/>
    </row>
    <row r="23" spans="1:23" ht="15.75" customHeight="1">
      <c r="A23" s="3"/>
      <c r="B23" s="160" t="s">
        <v>288</v>
      </c>
      <c r="C23" s="161">
        <f t="shared" ref="C23:E23" si="15">+C22/C21</f>
        <v>461.80000000003105</v>
      </c>
      <c r="D23" s="161" t="e">
        <f t="shared" si="15"/>
        <v>#DIV/0!</v>
      </c>
      <c r="E23" s="161" t="e">
        <f t="shared" si="15"/>
        <v>#DIV/0!</v>
      </c>
      <c r="F23" s="162" t="str">
        <f t="shared" si="11"/>
        <v/>
      </c>
      <c r="G23" s="163" t="str">
        <f t="shared" si="12"/>
        <v/>
      </c>
      <c r="H23" s="165" t="str">
        <f t="shared" si="13"/>
        <v/>
      </c>
      <c r="I23" s="166" t="str">
        <f t="shared" si="14"/>
        <v/>
      </c>
      <c r="J23" s="1062"/>
      <c r="K23" s="3"/>
      <c r="L23" s="3"/>
      <c r="M23" s="3"/>
      <c r="N23" s="3"/>
      <c r="O23" s="3"/>
      <c r="P23" s="3"/>
      <c r="Q23" s="3"/>
      <c r="R23" s="3"/>
      <c r="S23" s="3"/>
      <c r="T23" s="3"/>
      <c r="U23" s="3"/>
      <c r="V23" s="3"/>
      <c r="W23" s="3"/>
    </row>
    <row r="24" spans="1:23" ht="15.75" customHeight="1">
      <c r="A24" s="3"/>
      <c r="B24" s="160" t="s">
        <v>289</v>
      </c>
      <c r="C24" s="161">
        <f>+Print_Mois!$L$113</f>
        <v>8616.2900000000009</v>
      </c>
      <c r="D24" s="161">
        <f>+Print_Mois!$F$113</f>
        <v>0</v>
      </c>
      <c r="E24" s="161">
        <f>+Print_Mois!$Q$113</f>
        <v>0</v>
      </c>
      <c r="F24" s="162">
        <f t="shared" si="11"/>
        <v>8616.2900000000009</v>
      </c>
      <c r="G24" s="163">
        <f t="shared" si="12"/>
        <v>8616.2900000000009</v>
      </c>
      <c r="H24" s="165" t="str">
        <f t="shared" si="13"/>
        <v/>
      </c>
      <c r="I24" s="166" t="str">
        <f t="shared" si="14"/>
        <v/>
      </c>
      <c r="J24" s="1062"/>
      <c r="K24" s="3"/>
      <c r="L24" s="3"/>
      <c r="M24" s="3"/>
      <c r="N24" s="3"/>
      <c r="O24" s="3"/>
      <c r="P24" s="3"/>
      <c r="Q24" s="3"/>
      <c r="R24" s="3"/>
      <c r="S24" s="3"/>
      <c r="T24" s="3"/>
      <c r="U24" s="3"/>
      <c r="V24" s="3"/>
      <c r="W24" s="3"/>
    </row>
    <row r="25" spans="1:23" ht="15.75" customHeight="1">
      <c r="A25" s="3"/>
      <c r="B25" s="160" t="s">
        <v>290</v>
      </c>
      <c r="C25" s="164">
        <f t="shared" ref="C25:E25" si="16">+C24/C22</f>
        <v>1.2438703623501404</v>
      </c>
      <c r="D25" s="164" t="e">
        <f t="shared" si="16"/>
        <v>#DIV/0!</v>
      </c>
      <c r="E25" s="164" t="e">
        <f t="shared" si="16"/>
        <v>#DIV/0!</v>
      </c>
      <c r="F25" s="167" t="str">
        <f t="shared" si="11"/>
        <v/>
      </c>
      <c r="G25" s="168" t="str">
        <f t="shared" si="12"/>
        <v/>
      </c>
      <c r="H25" s="165" t="str">
        <f t="shared" si="13"/>
        <v/>
      </c>
      <c r="I25" s="166" t="str">
        <f t="shared" si="14"/>
        <v/>
      </c>
      <c r="J25" s="1062"/>
      <c r="K25" s="3"/>
      <c r="L25" s="3"/>
      <c r="M25" s="3"/>
      <c r="N25" s="3"/>
      <c r="O25" s="3"/>
      <c r="P25" s="3"/>
      <c r="Q25" s="3"/>
      <c r="R25" s="3"/>
      <c r="S25" s="3"/>
      <c r="T25" s="3"/>
      <c r="U25" s="3"/>
      <c r="V25" s="3"/>
      <c r="W25" s="3"/>
    </row>
    <row r="26" spans="1:23" ht="15.75" customHeight="1">
      <c r="A26" s="3"/>
      <c r="B26" s="160" t="s">
        <v>291</v>
      </c>
      <c r="C26" s="161">
        <f>+Print_Mois!$L$106</f>
        <v>14861.819999999996</v>
      </c>
      <c r="D26" s="161">
        <f>+Print_Mois!$F$106</f>
        <v>0</v>
      </c>
      <c r="E26" s="161">
        <f>+Print_Mois!$Q$106</f>
        <v>0</v>
      </c>
      <c r="F26" s="162">
        <f t="shared" si="11"/>
        <v>14861.819999999996</v>
      </c>
      <c r="G26" s="163">
        <f t="shared" si="12"/>
        <v>14861.819999999996</v>
      </c>
      <c r="H26" s="165" t="str">
        <f t="shared" si="13"/>
        <v/>
      </c>
      <c r="I26" s="166" t="str">
        <f t="shared" si="14"/>
        <v/>
      </c>
      <c r="J26" s="1062"/>
      <c r="K26" s="3"/>
      <c r="L26" s="3"/>
      <c r="M26" s="3"/>
      <c r="N26" s="3"/>
      <c r="O26" s="3"/>
      <c r="P26" s="3"/>
      <c r="Q26" s="3"/>
      <c r="R26" s="3"/>
      <c r="S26" s="3"/>
      <c r="T26" s="3"/>
      <c r="U26" s="3"/>
      <c r="V26" s="3"/>
      <c r="W26" s="3"/>
    </row>
    <row r="27" spans="1:23" ht="15.75" customHeight="1">
      <c r="A27" s="3"/>
      <c r="B27" s="160" t="s">
        <v>292</v>
      </c>
      <c r="C27" s="161">
        <f t="shared" ref="C27:E27" si="17">+C26/C21</f>
        <v>990.78799999999978</v>
      </c>
      <c r="D27" s="161" t="e">
        <f t="shared" si="17"/>
        <v>#DIV/0!</v>
      </c>
      <c r="E27" s="161" t="e">
        <f t="shared" si="17"/>
        <v>#DIV/0!</v>
      </c>
      <c r="F27" s="162" t="str">
        <f t="shared" si="11"/>
        <v/>
      </c>
      <c r="G27" s="163" t="str">
        <f t="shared" si="12"/>
        <v/>
      </c>
      <c r="H27" s="165" t="str">
        <f t="shared" si="13"/>
        <v/>
      </c>
      <c r="I27" s="166" t="str">
        <f t="shared" si="14"/>
        <v/>
      </c>
      <c r="J27" s="1062"/>
      <c r="K27" s="3"/>
      <c r="L27" s="3"/>
      <c r="M27" s="3"/>
      <c r="N27" s="3"/>
      <c r="O27" s="3"/>
      <c r="P27" s="3"/>
      <c r="Q27" s="3"/>
      <c r="R27" s="3"/>
      <c r="S27" s="3"/>
      <c r="T27" s="3"/>
      <c r="U27" s="3"/>
      <c r="V27" s="3"/>
      <c r="W27" s="3"/>
    </row>
    <row r="28" spans="1:23" ht="15.75" customHeight="1">
      <c r="A28" s="3"/>
      <c r="B28" s="160" t="s">
        <v>293</v>
      </c>
      <c r="C28" s="161">
        <f>+Print_Mois!$L$114</f>
        <v>6835.5699999999961</v>
      </c>
      <c r="D28" s="161">
        <f>+Print_Mois!$F$114</f>
        <v>0</v>
      </c>
      <c r="E28" s="161">
        <f>+Print_Mois!$Q$114</f>
        <v>0</v>
      </c>
      <c r="F28" s="162">
        <f t="shared" si="11"/>
        <v>6835.5699999999961</v>
      </c>
      <c r="G28" s="163">
        <f t="shared" si="12"/>
        <v>6835.5699999999961</v>
      </c>
      <c r="H28" s="165" t="str">
        <f t="shared" si="13"/>
        <v/>
      </c>
      <c r="I28" s="166" t="str">
        <f t="shared" si="14"/>
        <v/>
      </c>
      <c r="J28" s="1062"/>
      <c r="K28" s="3"/>
      <c r="L28" s="3"/>
      <c r="M28" s="3"/>
      <c r="N28" s="3"/>
      <c r="O28" s="3"/>
      <c r="P28" s="3"/>
      <c r="Q28" s="3"/>
      <c r="R28" s="3"/>
      <c r="S28" s="3"/>
      <c r="T28" s="3"/>
      <c r="U28" s="3"/>
      <c r="V28" s="3"/>
      <c r="W28" s="3"/>
    </row>
    <row r="29" spans="1:23" ht="15.75" customHeight="1">
      <c r="A29" s="3"/>
      <c r="B29" s="160" t="s">
        <v>294</v>
      </c>
      <c r="C29" s="164">
        <f t="shared" ref="C29:E29" si="18">+C28/C26</f>
        <v>0.45994164913853069</v>
      </c>
      <c r="D29" s="164" t="e">
        <f t="shared" si="18"/>
        <v>#DIV/0!</v>
      </c>
      <c r="E29" s="164" t="e">
        <f t="shared" si="18"/>
        <v>#DIV/0!</v>
      </c>
      <c r="F29" s="165" t="str">
        <f t="shared" si="11"/>
        <v/>
      </c>
      <c r="G29" s="169" t="str">
        <f t="shared" si="12"/>
        <v/>
      </c>
      <c r="H29" s="165" t="str">
        <f t="shared" si="13"/>
        <v/>
      </c>
      <c r="I29" s="166" t="str">
        <f t="shared" si="14"/>
        <v/>
      </c>
      <c r="J29" s="1062"/>
      <c r="K29" s="3"/>
      <c r="L29" s="3"/>
      <c r="M29" s="3"/>
      <c r="N29" s="3"/>
      <c r="O29" s="3"/>
      <c r="P29" s="3"/>
      <c r="Q29" s="3"/>
      <c r="R29" s="3"/>
      <c r="S29" s="3"/>
      <c r="T29" s="3"/>
      <c r="U29" s="3"/>
      <c r="V29" s="3"/>
      <c r="W29" s="3"/>
    </row>
    <row r="30" spans="1:23" ht="15.75" customHeight="1">
      <c r="A30" s="3"/>
      <c r="B30" s="160" t="s">
        <v>295</v>
      </c>
      <c r="C30" s="161">
        <f>+Print_Mois!$L$123-C24-C28</f>
        <v>58937.180000000008</v>
      </c>
      <c r="D30" s="161">
        <f>+Print_Mois!$F$123-D24-D28</f>
        <v>0</v>
      </c>
      <c r="E30" s="161">
        <f>+Print_Mois!$Q$123-E24-E28</f>
        <v>0</v>
      </c>
      <c r="F30" s="162">
        <f t="shared" si="11"/>
        <v>58937.180000000008</v>
      </c>
      <c r="G30" s="163">
        <f t="shared" si="12"/>
        <v>58937.180000000008</v>
      </c>
      <c r="H30" s="165" t="str">
        <f t="shared" si="13"/>
        <v/>
      </c>
      <c r="I30" s="166" t="str">
        <f t="shared" si="14"/>
        <v/>
      </c>
      <c r="J30" s="1062"/>
      <c r="K30" s="3"/>
      <c r="L30" s="3"/>
      <c r="M30" s="3"/>
      <c r="N30" s="3"/>
      <c r="O30" s="3"/>
      <c r="P30" s="3"/>
      <c r="Q30" s="3"/>
      <c r="R30" s="3"/>
      <c r="S30" s="3"/>
      <c r="T30" s="3"/>
      <c r="U30" s="3"/>
      <c r="V30" s="3"/>
      <c r="W30" s="3"/>
    </row>
    <row r="31" spans="1:23" ht="15.75" customHeight="1">
      <c r="A31" s="3"/>
      <c r="B31" s="160" t="s">
        <v>296</v>
      </c>
      <c r="C31" s="161">
        <f t="shared" ref="C31:E31" si="19">+C30/C21</f>
        <v>3929.1453333333338</v>
      </c>
      <c r="D31" s="161" t="e">
        <f t="shared" si="19"/>
        <v>#DIV/0!</v>
      </c>
      <c r="E31" s="161" t="e">
        <f t="shared" si="19"/>
        <v>#DIV/0!</v>
      </c>
      <c r="F31" s="162" t="str">
        <f t="shared" si="11"/>
        <v/>
      </c>
      <c r="G31" s="163" t="str">
        <f t="shared" si="12"/>
        <v/>
      </c>
      <c r="H31" s="165" t="str">
        <f t="shared" si="13"/>
        <v/>
      </c>
      <c r="I31" s="166" t="str">
        <f t="shared" si="14"/>
        <v/>
      </c>
      <c r="J31" s="1062"/>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2"/>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2"/>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2"/>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3"/>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184608.28999999998</v>
      </c>
      <c r="D38" s="195">
        <f>+Print_Mois!$E$268</f>
        <v>0</v>
      </c>
      <c r="E38" s="195">
        <f>+Print_Mois!$P$268</f>
        <v>0</v>
      </c>
      <c r="F38" s="196">
        <f t="shared" ref="F38:F47" si="22">+IFERROR($C38-D38,"")</f>
        <v>184608.28999999998</v>
      </c>
      <c r="G38" s="197">
        <f t="shared" ref="G38:G47" si="23">+IFERROR($C38-E38,"")</f>
        <v>184608.28999999998</v>
      </c>
      <c r="H38" s="158" t="str">
        <f t="shared" ref="H38:H47" si="24">+IFERROR(F38/ABS($D38),"")</f>
        <v/>
      </c>
      <c r="I38" s="159" t="str">
        <f t="shared" ref="I38:I47" si="25">+IFERROR(G38/ABS($E38),"")</f>
        <v/>
      </c>
      <c r="J38" s="1061" t="s">
        <v>1090</v>
      </c>
      <c r="K38" s="3"/>
      <c r="L38" s="3"/>
      <c r="M38" s="3"/>
      <c r="N38" s="3"/>
      <c r="O38" s="3"/>
      <c r="P38" s="3"/>
      <c r="Q38" s="3"/>
      <c r="R38" s="3"/>
      <c r="S38" s="3"/>
      <c r="T38" s="3"/>
      <c r="U38" s="3"/>
      <c r="V38" s="3"/>
      <c r="W38" s="3"/>
    </row>
    <row r="39" spans="1:23" ht="15.75" customHeight="1">
      <c r="A39" s="3"/>
      <c r="B39" s="154" t="s">
        <v>302</v>
      </c>
      <c r="C39" s="195">
        <f>+Print_Mois!$L$268</f>
        <v>122970.84000000001</v>
      </c>
      <c r="D39" s="195">
        <f>+Print_Mois!$F$268</f>
        <v>0</v>
      </c>
      <c r="E39" s="195">
        <f>+Print_Mois!$Q$268</f>
        <v>0</v>
      </c>
      <c r="F39" s="196">
        <f t="shared" si="22"/>
        <v>122970.84000000001</v>
      </c>
      <c r="G39" s="197">
        <f t="shared" si="23"/>
        <v>122970.84000000001</v>
      </c>
      <c r="H39" s="198" t="str">
        <f t="shared" si="24"/>
        <v/>
      </c>
      <c r="I39" s="199" t="str">
        <f t="shared" si="25"/>
        <v/>
      </c>
      <c r="J39" s="1062"/>
      <c r="K39" s="3"/>
      <c r="L39" s="3"/>
      <c r="M39" s="3"/>
      <c r="N39" s="3"/>
      <c r="O39" s="3"/>
      <c r="P39" s="3"/>
      <c r="Q39" s="3"/>
      <c r="R39" s="3"/>
      <c r="S39" s="3"/>
      <c r="T39" s="3"/>
      <c r="U39" s="3"/>
      <c r="V39" s="3"/>
      <c r="W39" s="3"/>
    </row>
    <row r="40" spans="1:23" ht="15.75" customHeight="1">
      <c r="A40" s="3"/>
      <c r="B40" s="160" t="s">
        <v>303</v>
      </c>
      <c r="C40" s="161">
        <f>+Print_Mois!$K$246/Print_Mois!$J$246</f>
        <v>433.76616666666683</v>
      </c>
      <c r="D40" s="161" t="str">
        <f>+IFERROR(Print_Mois!$E$246/Print_Mois!$D$246,"")</f>
        <v/>
      </c>
      <c r="E40" s="161" t="e">
        <f>+Print_Mois!$P$246/Print_Mois!$O$246</f>
        <v>#DIV/0!</v>
      </c>
      <c r="F40" s="162" t="str">
        <f t="shared" si="22"/>
        <v/>
      </c>
      <c r="G40" s="163" t="str">
        <f t="shared" si="23"/>
        <v/>
      </c>
      <c r="H40" s="165" t="str">
        <f t="shared" si="24"/>
        <v/>
      </c>
      <c r="I40" s="166" t="str">
        <f t="shared" si="25"/>
        <v/>
      </c>
      <c r="J40" s="1062"/>
      <c r="K40" s="3"/>
      <c r="L40" s="3"/>
      <c r="M40" s="3"/>
      <c r="N40" s="3"/>
      <c r="O40" s="3"/>
      <c r="P40" s="3"/>
      <c r="Q40" s="3"/>
      <c r="R40" s="3"/>
      <c r="S40" s="3"/>
      <c r="T40" s="3"/>
      <c r="U40" s="3"/>
      <c r="V40" s="3"/>
      <c r="W40" s="3"/>
    </row>
    <row r="41" spans="1:23" ht="15.75" customHeight="1">
      <c r="A41" s="3"/>
      <c r="B41" s="160" t="s">
        <v>304</v>
      </c>
      <c r="C41" s="161">
        <f>+Print_Mois!$K$249/Print_Mois!$J$249</f>
        <v>153.82412698412674</v>
      </c>
      <c r="D41" s="161" t="str">
        <f>+IFERROR(Print_Mois!$E$249/Print_Mois!$D$249,"")</f>
        <v/>
      </c>
      <c r="E41" s="161" t="e">
        <f>+Print_Mois!$P$249/Print_Mois!$O$249</f>
        <v>#DIV/0!</v>
      </c>
      <c r="F41" s="162" t="str">
        <f t="shared" si="22"/>
        <v/>
      </c>
      <c r="G41" s="163" t="str">
        <f t="shared" si="23"/>
        <v/>
      </c>
      <c r="H41" s="165" t="str">
        <f t="shared" si="24"/>
        <v/>
      </c>
      <c r="I41" s="166" t="str">
        <f t="shared" si="25"/>
        <v/>
      </c>
      <c r="J41" s="1062"/>
      <c r="K41" s="3"/>
      <c r="L41" s="3"/>
      <c r="M41" s="3"/>
      <c r="N41" s="3"/>
      <c r="O41" s="3"/>
      <c r="P41" s="3"/>
      <c r="Q41" s="3"/>
      <c r="R41" s="3"/>
      <c r="S41" s="3"/>
      <c r="T41" s="3"/>
      <c r="U41" s="3"/>
      <c r="V41" s="3"/>
      <c r="W41" s="3"/>
    </row>
    <row r="42" spans="1:23" ht="15.75" customHeight="1">
      <c r="A42" s="3"/>
      <c r="B42" s="160" t="s">
        <v>305</v>
      </c>
      <c r="C42" s="161">
        <f>+Print_Mois!$L$258</f>
        <v>-3012.8000000000011</v>
      </c>
      <c r="D42" s="161">
        <f>+Print_Mois!$F$258</f>
        <v>0</v>
      </c>
      <c r="E42" s="161">
        <f>+Print_Mois!$Q$258</f>
        <v>0</v>
      </c>
      <c r="F42" s="162">
        <f t="shared" si="22"/>
        <v>-3012.8000000000011</v>
      </c>
      <c r="G42" s="163">
        <f t="shared" si="23"/>
        <v>-3012.8000000000011</v>
      </c>
      <c r="H42" s="165" t="str">
        <f t="shared" si="24"/>
        <v/>
      </c>
      <c r="I42" s="166" t="str">
        <f t="shared" si="25"/>
        <v/>
      </c>
      <c r="J42" s="1062"/>
      <c r="K42" s="3"/>
      <c r="L42" s="3"/>
      <c r="M42" s="3"/>
      <c r="N42" s="3"/>
      <c r="O42" s="3"/>
      <c r="P42" s="3"/>
      <c r="Q42" s="3"/>
      <c r="R42" s="3"/>
      <c r="S42" s="3"/>
      <c r="T42" s="3"/>
      <c r="U42" s="3"/>
      <c r="V42" s="3"/>
      <c r="W42" s="3"/>
    </row>
    <row r="43" spans="1:23" ht="15.75" customHeight="1">
      <c r="A43" s="3"/>
      <c r="B43" s="160" t="s">
        <v>306</v>
      </c>
      <c r="C43" s="161">
        <f>+Print_Mois!$L$284</f>
        <v>139149.85999999999</v>
      </c>
      <c r="D43" s="161">
        <f>+Print_Mois!$F$284</f>
        <v>0</v>
      </c>
      <c r="E43" s="161">
        <f>+Print_Mois!$Q$284</f>
        <v>0</v>
      </c>
      <c r="F43" s="162">
        <f t="shared" si="22"/>
        <v>139149.85999999999</v>
      </c>
      <c r="G43" s="163">
        <f t="shared" si="23"/>
        <v>139149.85999999999</v>
      </c>
      <c r="H43" s="165" t="str">
        <f t="shared" si="24"/>
        <v/>
      </c>
      <c r="I43" s="166" t="str">
        <f t="shared" si="25"/>
        <v/>
      </c>
      <c r="J43" s="1062"/>
      <c r="K43" s="3"/>
      <c r="L43" s="3"/>
      <c r="M43" s="3"/>
      <c r="N43" s="3"/>
      <c r="O43" s="3"/>
      <c r="P43" s="3"/>
      <c r="Q43" s="3"/>
      <c r="R43" s="3"/>
      <c r="S43" s="3"/>
      <c r="T43" s="3"/>
      <c r="U43" s="3"/>
      <c r="V43" s="3"/>
      <c r="W43" s="3"/>
    </row>
    <row r="44" spans="1:23" ht="15.75" customHeight="1">
      <c r="A44" s="3"/>
      <c r="B44" s="176" t="s">
        <v>307</v>
      </c>
      <c r="C44" s="161">
        <f>+SUM(Print_Mois!$L$272:$L$278)</f>
        <v>57090.299999999988</v>
      </c>
      <c r="D44" s="161">
        <f>+SUM(Print_Mois!$F$272:$F$278)</f>
        <v>0</v>
      </c>
      <c r="E44" s="161">
        <f>+SUM(Print_Mois!$Q$272:$Q$278)</f>
        <v>0</v>
      </c>
      <c r="F44" s="162">
        <f t="shared" si="22"/>
        <v>57090.299999999988</v>
      </c>
      <c r="G44" s="163">
        <f t="shared" si="23"/>
        <v>57090.299999999988</v>
      </c>
      <c r="H44" s="165" t="str">
        <f t="shared" si="24"/>
        <v/>
      </c>
      <c r="I44" s="166" t="str">
        <f t="shared" si="25"/>
        <v/>
      </c>
      <c r="J44" s="1062"/>
      <c r="K44" s="3"/>
      <c r="L44" s="3"/>
      <c r="M44" s="3"/>
      <c r="N44" s="3"/>
      <c r="O44" s="3"/>
      <c r="P44" s="3"/>
      <c r="Q44" s="3"/>
      <c r="R44" s="3"/>
      <c r="S44" s="3"/>
      <c r="T44" s="3"/>
      <c r="U44" s="3"/>
      <c r="V44" s="3"/>
      <c r="W44" s="3"/>
    </row>
    <row r="45" spans="1:23" ht="14.4">
      <c r="A45" s="3"/>
      <c r="B45" s="176" t="s">
        <v>308</v>
      </c>
      <c r="C45" s="161">
        <f>+SUM(Print_Mois!$L$279:$L$283)</f>
        <v>82059.56</v>
      </c>
      <c r="D45" s="161">
        <f>+SUM(Print_Mois!$F$279:$F$283)</f>
        <v>0</v>
      </c>
      <c r="E45" s="161">
        <f>+SUM(Print_Mois!$Q$279:$Q$283)</f>
        <v>0</v>
      </c>
      <c r="F45" s="162">
        <f t="shared" si="22"/>
        <v>82059.56</v>
      </c>
      <c r="G45" s="163">
        <f t="shared" si="23"/>
        <v>82059.56</v>
      </c>
      <c r="H45" s="165" t="str">
        <f t="shared" si="24"/>
        <v/>
      </c>
      <c r="I45" s="166" t="str">
        <f t="shared" si="25"/>
        <v/>
      </c>
      <c r="J45" s="1062"/>
      <c r="K45" s="3"/>
      <c r="L45" s="3"/>
      <c r="M45" s="3"/>
      <c r="N45" s="3"/>
      <c r="O45" s="3"/>
      <c r="P45" s="3"/>
      <c r="Q45" s="3"/>
      <c r="R45" s="3"/>
      <c r="S45" s="3"/>
      <c r="T45" s="3"/>
      <c r="U45" s="3"/>
      <c r="V45" s="3"/>
      <c r="W45" s="3"/>
    </row>
    <row r="46" spans="1:23" ht="14.4">
      <c r="A46" s="3"/>
      <c r="B46" s="160" t="s">
        <v>309</v>
      </c>
      <c r="C46" s="164">
        <f t="shared" ref="C46:E46" si="26">+C43/C38</f>
        <v>0.75375737460110814</v>
      </c>
      <c r="D46" s="164" t="e">
        <f t="shared" si="26"/>
        <v>#DIV/0!</v>
      </c>
      <c r="E46" s="164" t="e">
        <f t="shared" si="26"/>
        <v>#DIV/0!</v>
      </c>
      <c r="F46" s="167" t="str">
        <f t="shared" si="22"/>
        <v/>
      </c>
      <c r="G46" s="168" t="str">
        <f t="shared" si="23"/>
        <v/>
      </c>
      <c r="H46" s="165" t="str">
        <f t="shared" si="24"/>
        <v/>
      </c>
      <c r="I46" s="166" t="str">
        <f t="shared" si="25"/>
        <v/>
      </c>
      <c r="J46" s="1062"/>
      <c r="K46" s="3"/>
      <c r="L46" s="3"/>
      <c r="M46" s="3"/>
      <c r="N46" s="3"/>
      <c r="O46" s="3"/>
      <c r="P46" s="3"/>
      <c r="Q46" s="3"/>
      <c r="R46" s="3"/>
      <c r="S46" s="3"/>
      <c r="T46" s="3"/>
      <c r="U46" s="3"/>
      <c r="V46" s="3"/>
      <c r="W46" s="3"/>
    </row>
    <row r="47" spans="1:23" ht="14.4">
      <c r="A47" s="3"/>
      <c r="B47" s="200" t="s">
        <v>127</v>
      </c>
      <c r="C47" s="179">
        <f>+Print_Mois!$L$287</f>
        <v>4024.0599999999977</v>
      </c>
      <c r="D47" s="179">
        <f>+Print_Mois!$F$287</f>
        <v>0</v>
      </c>
      <c r="E47" s="179">
        <f>+Print_Mois!$Q$287</f>
        <v>0</v>
      </c>
      <c r="F47" s="180">
        <f t="shared" si="22"/>
        <v>4024.0599999999977</v>
      </c>
      <c r="G47" s="181">
        <f t="shared" si="23"/>
        <v>4024.0599999999977</v>
      </c>
      <c r="H47" s="182" t="str">
        <f t="shared" si="24"/>
        <v/>
      </c>
      <c r="I47" s="183" t="str">
        <f t="shared" si="25"/>
        <v/>
      </c>
      <c r="J47" s="106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351621.17000000004</v>
      </c>
      <c r="D50" s="195">
        <f>+Print_Mois!$D$390</f>
        <v>0</v>
      </c>
      <c r="E50" s="195">
        <f>+Print_Mois!$O$390</f>
        <v>0</v>
      </c>
      <c r="F50" s="196">
        <f t="shared" ref="F50:F59" si="27">+IFERROR($C50-D50,"")</f>
        <v>351621.17000000004</v>
      </c>
      <c r="G50" s="197">
        <f t="shared" ref="G50:G59" si="28">+IFERROR($C50-E50,"")</f>
        <v>351621.17000000004</v>
      </c>
      <c r="H50" s="158" t="str">
        <f t="shared" ref="H50:H59" si="29">+IFERROR(F50/ABS($D50),"")</f>
        <v/>
      </c>
      <c r="I50" s="159" t="str">
        <f t="shared" ref="I50:I59" si="30">+IFERROR(G50/ABS($E50),"")</f>
        <v/>
      </c>
      <c r="J50" s="1061" t="s">
        <v>1091</v>
      </c>
      <c r="K50" s="3"/>
      <c r="L50" s="3"/>
      <c r="M50" s="3"/>
      <c r="N50" s="3"/>
      <c r="O50" s="3"/>
      <c r="P50" s="3"/>
      <c r="Q50" s="3"/>
      <c r="R50" s="3"/>
      <c r="S50" s="3"/>
      <c r="T50" s="3"/>
      <c r="U50" s="3"/>
      <c r="V50" s="3"/>
      <c r="W50" s="3"/>
    </row>
    <row r="51" spans="1:23" ht="15.75" customHeight="1">
      <c r="A51" s="3"/>
      <c r="B51" s="176" t="s">
        <v>311</v>
      </c>
      <c r="C51" s="161">
        <f>+Print_Mois!$J$371</f>
        <v>66753.260000000009</v>
      </c>
      <c r="D51" s="161">
        <f>+Print_Mois!$D$371</f>
        <v>0</v>
      </c>
      <c r="E51" s="161">
        <f>+Print_Mois!$O$371</f>
        <v>0</v>
      </c>
      <c r="F51" s="162">
        <f t="shared" si="27"/>
        <v>66753.260000000009</v>
      </c>
      <c r="G51" s="163">
        <f t="shared" si="28"/>
        <v>66753.260000000009</v>
      </c>
      <c r="H51" s="165" t="str">
        <f t="shared" si="29"/>
        <v/>
      </c>
      <c r="I51" s="166" t="str">
        <f t="shared" si="30"/>
        <v/>
      </c>
      <c r="J51" s="1062"/>
      <c r="K51" s="3"/>
      <c r="L51" s="3"/>
      <c r="M51" s="3"/>
      <c r="N51" s="3"/>
      <c r="O51" s="3"/>
      <c r="P51" s="3"/>
      <c r="Q51" s="3"/>
      <c r="R51" s="3"/>
      <c r="S51" s="3"/>
      <c r="T51" s="3"/>
      <c r="U51" s="3"/>
      <c r="V51" s="3"/>
      <c r="W51" s="3"/>
    </row>
    <row r="52" spans="1:23" ht="15.75" customHeight="1">
      <c r="A52" s="3"/>
      <c r="B52" s="176" t="s">
        <v>312</v>
      </c>
      <c r="C52" s="161">
        <f>+Print_Mois!$J$373</f>
        <v>32778.910000000033</v>
      </c>
      <c r="D52" s="161">
        <f>+Print_Mois!$D$373</f>
        <v>0</v>
      </c>
      <c r="E52" s="161">
        <f>+Print_Mois!$O$373</f>
        <v>0</v>
      </c>
      <c r="F52" s="162">
        <f t="shared" si="27"/>
        <v>32778.910000000033</v>
      </c>
      <c r="G52" s="163">
        <f t="shared" si="28"/>
        <v>32778.910000000033</v>
      </c>
      <c r="H52" s="165" t="str">
        <f t="shared" si="29"/>
        <v/>
      </c>
      <c r="I52" s="166" t="str">
        <f t="shared" si="30"/>
        <v/>
      </c>
      <c r="J52" s="1062"/>
      <c r="K52" s="3"/>
      <c r="L52" s="3"/>
      <c r="M52" s="3"/>
      <c r="N52" s="3"/>
      <c r="O52" s="3"/>
      <c r="P52" s="3"/>
      <c r="Q52" s="3"/>
      <c r="R52" s="3"/>
      <c r="S52" s="3"/>
      <c r="T52" s="3"/>
      <c r="U52" s="3"/>
      <c r="V52" s="3"/>
      <c r="W52" s="3"/>
    </row>
    <row r="53" spans="1:23" ht="15.75" customHeight="1">
      <c r="A53" s="3"/>
      <c r="B53" s="176" t="s">
        <v>313</v>
      </c>
      <c r="C53" s="161">
        <f>+Print_Mois!$J$376</f>
        <v>123480.30000000005</v>
      </c>
      <c r="D53" s="161">
        <f>+Print_Mois!$D$376</f>
        <v>0</v>
      </c>
      <c r="E53" s="161">
        <f>+Print_Mois!$O$376</f>
        <v>0</v>
      </c>
      <c r="F53" s="162">
        <f t="shared" si="27"/>
        <v>123480.30000000005</v>
      </c>
      <c r="G53" s="163">
        <f t="shared" si="28"/>
        <v>123480.30000000005</v>
      </c>
      <c r="H53" s="165" t="str">
        <f t="shared" si="29"/>
        <v/>
      </c>
      <c r="I53" s="166" t="str">
        <f t="shared" si="30"/>
        <v/>
      </c>
      <c r="J53" s="1062"/>
      <c r="K53" s="3"/>
      <c r="L53" s="3"/>
      <c r="M53" s="3"/>
      <c r="N53" s="3"/>
      <c r="O53" s="3"/>
      <c r="P53" s="3"/>
      <c r="Q53" s="3"/>
      <c r="R53" s="3"/>
      <c r="S53" s="3"/>
      <c r="T53" s="3"/>
      <c r="U53" s="3"/>
      <c r="V53" s="3"/>
      <c r="W53" s="3"/>
    </row>
    <row r="54" spans="1:23" ht="15.75" customHeight="1">
      <c r="A54" s="3"/>
      <c r="B54" s="176" t="s">
        <v>314</v>
      </c>
      <c r="C54" s="161">
        <f>+Print_Mois!$J$383</f>
        <v>51352.289999999979</v>
      </c>
      <c r="D54" s="161">
        <f>+Print_Mois!$D$383</f>
        <v>0</v>
      </c>
      <c r="E54" s="161">
        <f>+Print_Mois!$O$383</f>
        <v>0</v>
      </c>
      <c r="F54" s="162">
        <f t="shared" si="27"/>
        <v>51352.289999999979</v>
      </c>
      <c r="G54" s="163">
        <f t="shared" si="28"/>
        <v>51352.289999999979</v>
      </c>
      <c r="H54" s="165" t="str">
        <f t="shared" si="29"/>
        <v/>
      </c>
      <c r="I54" s="166" t="str">
        <f t="shared" si="30"/>
        <v/>
      </c>
      <c r="J54" s="1062"/>
      <c r="K54" s="3"/>
      <c r="L54" s="3"/>
      <c r="M54" s="3"/>
      <c r="N54" s="3"/>
      <c r="O54" s="3"/>
      <c r="P54" s="3"/>
      <c r="Q54" s="3"/>
      <c r="R54" s="3"/>
      <c r="S54" s="3"/>
      <c r="T54" s="3"/>
      <c r="U54" s="3"/>
      <c r="V54" s="3"/>
      <c r="W54" s="3"/>
    </row>
    <row r="55" spans="1:23" ht="15.75" customHeight="1">
      <c r="A55" s="3"/>
      <c r="B55" s="176" t="s">
        <v>315</v>
      </c>
      <c r="C55" s="161">
        <f t="shared" ref="C55:E55" si="31">+C50-SUM(C51:C54)</f>
        <v>77256.409999999974</v>
      </c>
      <c r="D55" s="161">
        <f t="shared" si="31"/>
        <v>0</v>
      </c>
      <c r="E55" s="161">
        <f t="shared" si="31"/>
        <v>0</v>
      </c>
      <c r="F55" s="162">
        <f t="shared" si="27"/>
        <v>77256.409999999974</v>
      </c>
      <c r="G55" s="163">
        <f t="shared" si="28"/>
        <v>77256.409999999974</v>
      </c>
      <c r="H55" s="165" t="str">
        <f t="shared" si="29"/>
        <v/>
      </c>
      <c r="I55" s="166" t="str">
        <f t="shared" si="30"/>
        <v/>
      </c>
      <c r="J55" s="1062"/>
      <c r="K55" s="3"/>
      <c r="L55" s="3"/>
      <c r="M55" s="3"/>
      <c r="N55" s="3"/>
      <c r="O55" s="3"/>
      <c r="P55" s="3"/>
      <c r="Q55" s="3"/>
      <c r="R55" s="3"/>
      <c r="S55" s="3"/>
      <c r="T55" s="3"/>
      <c r="U55" s="3"/>
      <c r="V55" s="3"/>
      <c r="W55" s="3"/>
    </row>
    <row r="56" spans="1:23" ht="15.75" customHeight="1">
      <c r="A56" s="3"/>
      <c r="B56" s="154" t="s">
        <v>302</v>
      </c>
      <c r="C56" s="195">
        <f>+Print_Mois!$L$390</f>
        <v>299756.47999999986</v>
      </c>
      <c r="D56" s="195">
        <f>+Print_Mois!$F$390</f>
        <v>0</v>
      </c>
      <c r="E56" s="195">
        <f>+Print_Mois!$Q$390</f>
        <v>0</v>
      </c>
      <c r="F56" s="196">
        <f t="shared" si="27"/>
        <v>299756.47999999986</v>
      </c>
      <c r="G56" s="197">
        <f t="shared" si="28"/>
        <v>299756.47999999986</v>
      </c>
      <c r="H56" s="198" t="str">
        <f t="shared" si="29"/>
        <v/>
      </c>
      <c r="I56" s="199" t="str">
        <f t="shared" si="30"/>
        <v/>
      </c>
      <c r="J56" s="1062"/>
      <c r="K56" s="3"/>
      <c r="L56" s="3"/>
      <c r="M56" s="3"/>
      <c r="N56" s="3"/>
      <c r="O56" s="3"/>
      <c r="P56" s="3"/>
      <c r="Q56" s="3"/>
      <c r="R56" s="3"/>
      <c r="S56" s="3"/>
      <c r="T56" s="3"/>
      <c r="U56" s="3"/>
      <c r="V56" s="3"/>
      <c r="W56" s="3"/>
    </row>
    <row r="57" spans="1:23" ht="15.75" customHeight="1">
      <c r="A57" s="3"/>
      <c r="B57" s="160" t="s">
        <v>303</v>
      </c>
      <c r="C57" s="161">
        <f>+Print_Mois!$J$371/Print_Mois!$J$246</f>
        <v>370.8514444444445</v>
      </c>
      <c r="D57" s="161" t="str">
        <f>+IFERROR(Print_Mois!$D$371/Print_Mois!$D$246,"")</f>
        <v/>
      </c>
      <c r="E57" s="161" t="e">
        <f>+Print_Mois!$O$371/Print_Mois!$O$246</f>
        <v>#DIV/0!</v>
      </c>
      <c r="F57" s="162" t="str">
        <f t="shared" si="27"/>
        <v/>
      </c>
      <c r="G57" s="163" t="str">
        <f t="shared" si="28"/>
        <v/>
      </c>
      <c r="H57" s="165" t="str">
        <f t="shared" si="29"/>
        <v/>
      </c>
      <c r="I57" s="166" t="str">
        <f t="shared" si="30"/>
        <v/>
      </c>
      <c r="J57" s="1062"/>
      <c r="K57" s="3"/>
      <c r="L57" s="3"/>
      <c r="M57" s="3"/>
      <c r="N57" s="3"/>
      <c r="O57" s="3"/>
      <c r="P57" s="3"/>
      <c r="Q57" s="3"/>
      <c r="R57" s="3"/>
      <c r="S57" s="3"/>
      <c r="T57" s="3"/>
      <c r="U57" s="3"/>
      <c r="V57" s="3"/>
      <c r="W57" s="3"/>
    </row>
    <row r="58" spans="1:23" ht="15.75" customHeight="1">
      <c r="A58" s="3"/>
      <c r="B58" s="160" t="s">
        <v>304</v>
      </c>
      <c r="C58" s="161">
        <f>+Print_Mois!$J$373/Print_Mois!$J$249</f>
        <v>130.07503968253982</v>
      </c>
      <c r="D58" s="161" t="str">
        <f>+IFERROR(Print_Mois!$D$373/Print_Mois!$D$249,"")</f>
        <v/>
      </c>
      <c r="E58" s="161" t="e">
        <f>+Print_Mois!$O$373/Print_Mois!$O$249</f>
        <v>#DIV/0!</v>
      </c>
      <c r="F58" s="162" t="str">
        <f t="shared" si="27"/>
        <v/>
      </c>
      <c r="G58" s="163" t="str">
        <f t="shared" si="28"/>
        <v/>
      </c>
      <c r="H58" s="165" t="str">
        <f t="shared" si="29"/>
        <v/>
      </c>
      <c r="I58" s="166" t="str">
        <f t="shared" si="30"/>
        <v/>
      </c>
      <c r="J58" s="1062"/>
      <c r="K58" s="3"/>
      <c r="L58" s="3"/>
      <c r="M58" s="3"/>
      <c r="N58" s="3"/>
      <c r="O58" s="3"/>
      <c r="P58" s="3"/>
      <c r="Q58" s="3"/>
      <c r="R58" s="3"/>
      <c r="S58" s="3"/>
      <c r="T58" s="3"/>
      <c r="U58" s="3"/>
      <c r="V58" s="3"/>
      <c r="W58" s="3"/>
    </row>
    <row r="59" spans="1:23" ht="15.75" customHeight="1">
      <c r="A59" s="3"/>
      <c r="B59" s="200" t="s">
        <v>118</v>
      </c>
      <c r="C59" s="179">
        <f>+Print_Mois!$L$396</f>
        <v>19204.729999999981</v>
      </c>
      <c r="D59" s="179">
        <f>+Print_Mois!$F$396</f>
        <v>0</v>
      </c>
      <c r="E59" s="179">
        <f>+Print_Mois!$Q$396</f>
        <v>0</v>
      </c>
      <c r="F59" s="180">
        <f t="shared" si="27"/>
        <v>19204.729999999981</v>
      </c>
      <c r="G59" s="181">
        <f t="shared" si="28"/>
        <v>19204.729999999981</v>
      </c>
      <c r="H59" s="182" t="str">
        <f t="shared" si="29"/>
        <v/>
      </c>
      <c r="I59" s="183" t="str">
        <f t="shared" si="30"/>
        <v/>
      </c>
      <c r="J59" s="106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0.64414133097510762</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61"/>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2"/>
      <c r="K63" s="3"/>
      <c r="L63" s="3"/>
      <c r="M63" s="3"/>
      <c r="N63" s="3"/>
      <c r="O63" s="3"/>
      <c r="P63" s="3"/>
      <c r="Q63" s="3"/>
      <c r="R63" s="3"/>
      <c r="S63" s="3"/>
      <c r="T63" s="3"/>
      <c r="U63" s="3"/>
      <c r="V63" s="3"/>
      <c r="W63" s="3"/>
    </row>
    <row r="64" spans="1:23" ht="15.75" customHeight="1">
      <c r="A64" s="3"/>
      <c r="B64" s="176" t="s">
        <v>319</v>
      </c>
      <c r="C64" s="161">
        <f>N17+Print_Mois!$AF$501+Print_Mois!$AF$521</f>
        <v>-100483.81000000001</v>
      </c>
      <c r="D64" s="161">
        <f>+Print_Mois!$Z$501+Print_Mois!$Z$521</f>
        <v>0</v>
      </c>
      <c r="E64" s="161">
        <f>+Print_Mois!$AL$501+Print_Mois!$AL$521</f>
        <v>0</v>
      </c>
      <c r="F64" s="162">
        <f t="shared" si="32"/>
        <v>-100483.81000000001</v>
      </c>
      <c r="G64" s="163">
        <f t="shared" si="32"/>
        <v>-100483.81000000001</v>
      </c>
      <c r="H64" s="165" t="str">
        <f t="shared" si="33"/>
        <v/>
      </c>
      <c r="I64" s="166" t="str">
        <f t="shared" si="34"/>
        <v/>
      </c>
      <c r="J64" s="1062"/>
      <c r="K64" s="3"/>
      <c r="L64" s="3"/>
      <c r="M64" s="3"/>
      <c r="N64" s="3"/>
      <c r="O64" s="3"/>
      <c r="P64" s="3"/>
      <c r="Q64" s="3"/>
      <c r="R64" s="3"/>
      <c r="S64" s="3"/>
      <c r="T64" s="3"/>
      <c r="U64" s="3"/>
      <c r="V64" s="3"/>
      <c r="W64" s="3"/>
    </row>
    <row r="65" spans="1:23" ht="15.75" customHeight="1">
      <c r="A65" s="3"/>
      <c r="B65" s="176" t="s">
        <v>320</v>
      </c>
      <c r="C65" s="161">
        <f>+Print_Mois!$AF$539-Print_Mois!$AF$521</f>
        <v>92453.00999999998</v>
      </c>
      <c r="D65" s="161">
        <f>+Print_Mois!$Z$539-Print_Mois!$Z$521</f>
        <v>0</v>
      </c>
      <c r="E65" s="161">
        <f>+Print_Mois!$AL$539-Print_Mois!$AL$521</f>
        <v>0</v>
      </c>
      <c r="F65" s="162">
        <f t="shared" si="32"/>
        <v>92453.00999999998</v>
      </c>
      <c r="G65" s="163">
        <f t="shared" si="32"/>
        <v>92453.00999999998</v>
      </c>
      <c r="H65" s="165" t="str">
        <f t="shared" si="33"/>
        <v/>
      </c>
      <c r="I65" s="166" t="str">
        <f t="shared" si="34"/>
        <v/>
      </c>
      <c r="J65" s="1062"/>
      <c r="K65" s="3"/>
      <c r="L65" s="3"/>
      <c r="M65" s="3"/>
      <c r="N65" s="3"/>
      <c r="O65" s="3"/>
      <c r="P65" s="3"/>
      <c r="Q65" s="3"/>
      <c r="R65" s="3"/>
      <c r="S65" s="3"/>
      <c r="T65" s="3"/>
      <c r="U65" s="3"/>
      <c r="V65" s="3"/>
      <c r="W65" s="3"/>
    </row>
    <row r="66" spans="1:23" ht="15.75" customHeight="1">
      <c r="A66" s="3"/>
      <c r="B66" s="176" t="s">
        <v>321</v>
      </c>
      <c r="C66" s="161">
        <f>+Print_Mois!$AF$502</f>
        <v>138376.22</v>
      </c>
      <c r="D66" s="161">
        <f>+Print_Mois!$Z$502</f>
        <v>0</v>
      </c>
      <c r="E66" s="161">
        <f>+Print_Mois!$AL$502</f>
        <v>0</v>
      </c>
      <c r="F66" s="162">
        <f t="shared" si="32"/>
        <v>138376.22</v>
      </c>
      <c r="G66" s="163">
        <f t="shared" si="32"/>
        <v>138376.22</v>
      </c>
      <c r="H66" s="165" t="str">
        <f t="shared" si="33"/>
        <v/>
      </c>
      <c r="I66" s="166" t="str">
        <f t="shared" si="34"/>
        <v/>
      </c>
      <c r="J66" s="1062"/>
      <c r="K66" s="3"/>
      <c r="L66" s="3"/>
      <c r="M66" s="3"/>
      <c r="N66" s="3"/>
      <c r="O66" s="3"/>
      <c r="P66" s="3"/>
      <c r="Q66" s="3"/>
      <c r="R66" s="3"/>
      <c r="S66" s="3"/>
      <c r="T66" s="3"/>
      <c r="U66" s="3"/>
      <c r="V66" s="3"/>
      <c r="W66" s="3"/>
    </row>
    <row r="67" spans="1:23" ht="14.4">
      <c r="A67" s="3"/>
      <c r="B67" s="178" t="s">
        <v>322</v>
      </c>
      <c r="C67" s="179">
        <f>+Print_Mois!$AF$568-C32-C15</f>
        <v>832915.41000000038</v>
      </c>
      <c r="D67" s="179">
        <f>+Print_Mois!$Z$568-D32-D15</f>
        <v>0</v>
      </c>
      <c r="E67" s="179">
        <f>+Print_Mois!$AL$568-E32-E15</f>
        <v>0</v>
      </c>
      <c r="F67" s="180">
        <f t="shared" si="32"/>
        <v>832915.41000000038</v>
      </c>
      <c r="G67" s="181">
        <f t="shared" si="32"/>
        <v>832915.41000000038</v>
      </c>
      <c r="H67" s="182" t="str">
        <f t="shared" si="33"/>
        <v/>
      </c>
      <c r="I67" s="183" t="str">
        <f t="shared" si="34"/>
        <v/>
      </c>
      <c r="J67" s="106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-239278.14999999973</v>
      </c>
      <c r="D70" s="161">
        <f>+Print_Mois!$Z$506-Print_Mois!$Z$502+Print_Mois!$Z$521+Print_Mois!$Z$522+Print_Mois!$Z$523</f>
        <v>0</v>
      </c>
      <c r="E70" s="161">
        <f>+Print_Mois!$AL$506-Print_Mois!$AL$502+Print_Mois!$AL$521+Print_Mois!$AL$522+Print_Mois!$AL$523</f>
        <v>0</v>
      </c>
      <c r="F70" s="220">
        <f t="shared" ref="F70:G77" si="35">+IFERROR($C70-D70,"")</f>
        <v>-239278.14999999973</v>
      </c>
      <c r="G70" s="221">
        <f t="shared" si="35"/>
        <v>-239278.14999999973</v>
      </c>
      <c r="H70" s="165" t="str">
        <f t="shared" ref="H70:H77" si="36">+IFERROR(F70/ABS($D70),"")</f>
        <v/>
      </c>
      <c r="I70" s="166" t="str">
        <f t="shared" ref="I70:I77" si="37">+IFERROR(G70/ABS($E70),"")</f>
        <v/>
      </c>
      <c r="J70" s="1061" t="s">
        <v>1092</v>
      </c>
      <c r="K70" s="3"/>
      <c r="L70" s="3"/>
      <c r="M70" s="3"/>
      <c r="N70" s="3"/>
      <c r="O70" s="3"/>
      <c r="P70" s="3"/>
      <c r="Q70" s="3"/>
      <c r="R70" s="3"/>
      <c r="S70" s="3"/>
      <c r="T70" s="3"/>
      <c r="U70" s="3"/>
      <c r="V70" s="3"/>
      <c r="W70" s="3"/>
    </row>
    <row r="71" spans="1:23" ht="15.75" customHeight="1">
      <c r="A71" s="3"/>
      <c r="B71" s="176" t="s">
        <v>325</v>
      </c>
      <c r="C71" s="164">
        <f>+C70/Print_Mois!$AF$494</f>
        <v>-0.27266144906276962</v>
      </c>
      <c r="D71" s="164" t="e">
        <f>+D70/Print_Mois!$Z$494</f>
        <v>#REF!</v>
      </c>
      <c r="E71" s="164" t="e">
        <f>+E70/Print_Mois!$AL$494</f>
        <v>#DIV/0!</v>
      </c>
      <c r="F71" s="167" t="str">
        <f t="shared" si="35"/>
        <v/>
      </c>
      <c r="G71" s="168" t="str">
        <f t="shared" si="35"/>
        <v/>
      </c>
      <c r="H71" s="165" t="str">
        <f t="shared" si="36"/>
        <v/>
      </c>
      <c r="I71" s="166" t="str">
        <f t="shared" si="37"/>
        <v/>
      </c>
      <c r="J71" s="1062"/>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715434.67000000027</v>
      </c>
      <c r="D72" s="161">
        <f>+Print_Mois!$Z$553+Print_Mois!$Z$520+Print_Mois!$Z$524+Print_Mois!$Z$526+SUM(Print_Mois!$Z$527:$Z$535)+Print_Mois!$Z$525</f>
        <v>0</v>
      </c>
      <c r="E72" s="161">
        <f>+Print_Mois!$AL$553+Print_Mois!$AL$520+Print_Mois!$AL$524+Print_Mois!$AL$526+SUM(Print_Mois!$AL$527:$AL$535)+Print_Mois!$AL$525</f>
        <v>0</v>
      </c>
      <c r="F72" s="162">
        <f t="shared" si="35"/>
        <v>715434.67000000027</v>
      </c>
      <c r="G72" s="163">
        <f t="shared" si="35"/>
        <v>715434.67000000027</v>
      </c>
      <c r="H72" s="165" t="str">
        <f t="shared" si="36"/>
        <v/>
      </c>
      <c r="I72" s="166" t="str">
        <f t="shared" si="37"/>
        <v/>
      </c>
      <c r="J72" s="1062"/>
      <c r="K72" s="3"/>
      <c r="L72" s="3"/>
      <c r="M72" s="3"/>
      <c r="N72" s="3"/>
      <c r="O72" s="3"/>
      <c r="P72" s="3"/>
      <c r="Q72" s="3"/>
      <c r="R72" s="3"/>
      <c r="S72" s="3"/>
      <c r="T72" s="3"/>
      <c r="U72" s="3"/>
      <c r="V72" s="3"/>
      <c r="W72" s="3"/>
    </row>
    <row r="73" spans="1:23" ht="15.75" customHeight="1">
      <c r="A73" s="3"/>
      <c r="B73" s="176" t="s">
        <v>327</v>
      </c>
      <c r="C73" s="164">
        <f>+C72/Print_Mois!$AF$494</f>
        <v>0.81524975779002251</v>
      </c>
      <c r="D73" s="164" t="e">
        <f>+D72/Print_Mois!$Z$494</f>
        <v>#REF!</v>
      </c>
      <c r="E73" s="164" t="e">
        <f>+E72/Print_Mois!$AL$494</f>
        <v>#DIV/0!</v>
      </c>
      <c r="F73" s="167" t="str">
        <f t="shared" si="35"/>
        <v/>
      </c>
      <c r="G73" s="168" t="str">
        <f t="shared" si="35"/>
        <v/>
      </c>
      <c r="H73" s="165" t="str">
        <f t="shared" si="36"/>
        <v/>
      </c>
      <c r="I73" s="166" t="str">
        <f t="shared" si="37"/>
        <v/>
      </c>
      <c r="J73" s="1062"/>
      <c r="K73" s="3"/>
      <c r="L73" s="3"/>
      <c r="M73" s="3"/>
      <c r="N73" s="3"/>
      <c r="O73" s="3"/>
      <c r="P73" s="3"/>
      <c r="Q73" s="3"/>
      <c r="R73" s="3"/>
      <c r="S73" s="3"/>
      <c r="T73" s="3"/>
      <c r="U73" s="3"/>
      <c r="V73" s="3"/>
      <c r="W73" s="3"/>
    </row>
    <row r="74" spans="1:23" ht="15.75" customHeight="1">
      <c r="A74" s="1"/>
      <c r="B74" s="206" t="s">
        <v>328</v>
      </c>
      <c r="C74" s="195">
        <f>+Print_Mois!$AF$570+Print_Mois!$AF$502</f>
        <v>1239945.8400000047</v>
      </c>
      <c r="D74" s="195" t="e">
        <f>+Print_Mois!$Z$570+Print_Mois!$Z$502</f>
        <v>#REF!</v>
      </c>
      <c r="E74" s="195">
        <f>+Print_Mois!$AL$570+Print_Mois!$AL$502</f>
        <v>0</v>
      </c>
      <c r="F74" s="196" t="str">
        <f t="shared" si="35"/>
        <v/>
      </c>
      <c r="G74" s="197">
        <f t="shared" si="35"/>
        <v>1239945.8400000047</v>
      </c>
      <c r="H74" s="198" t="str">
        <f t="shared" si="36"/>
        <v/>
      </c>
      <c r="I74" s="199" t="str">
        <f t="shared" si="37"/>
        <v/>
      </c>
      <c r="J74" s="1062"/>
      <c r="K74" s="1"/>
      <c r="L74" s="1"/>
      <c r="M74" s="1"/>
      <c r="N74" s="1"/>
      <c r="O74" s="1"/>
      <c r="P74" s="1"/>
      <c r="Q74" s="1"/>
      <c r="R74" s="1"/>
      <c r="S74" s="1"/>
      <c r="T74" s="1"/>
      <c r="U74" s="1"/>
      <c r="V74" s="1"/>
      <c r="W74" s="1"/>
    </row>
    <row r="75" spans="1:23" ht="15.75" customHeight="1">
      <c r="A75" s="3"/>
      <c r="B75" s="160" t="s">
        <v>329</v>
      </c>
      <c r="C75" s="222">
        <f>+C74/Print_Mois!$AF$493</f>
        <v>6.5150335693439435E-2</v>
      </c>
      <c r="D75" s="222" t="e">
        <f>+D74/Print_Mois!$Z$493</f>
        <v>#REF!</v>
      </c>
      <c r="E75" s="222" t="e">
        <f>+E74/Print_Mois!$AL$493</f>
        <v>#DIV/0!</v>
      </c>
      <c r="F75" s="167" t="str">
        <f t="shared" si="35"/>
        <v/>
      </c>
      <c r="G75" s="168" t="str">
        <f t="shared" si="35"/>
        <v/>
      </c>
      <c r="H75" s="165" t="str">
        <f t="shared" si="36"/>
        <v/>
      </c>
      <c r="I75" s="166" t="str">
        <f t="shared" si="37"/>
        <v/>
      </c>
      <c r="J75" s="1062"/>
      <c r="K75" s="3"/>
      <c r="L75" s="3"/>
      <c r="M75" s="3"/>
      <c r="N75" s="3"/>
      <c r="O75" s="3"/>
      <c r="P75" s="3"/>
      <c r="Q75" s="3"/>
      <c r="R75" s="3"/>
      <c r="S75" s="3"/>
      <c r="T75" s="3"/>
      <c r="U75" s="3"/>
      <c r="V75" s="3"/>
      <c r="W75" s="3"/>
    </row>
    <row r="76" spans="1:23" ht="15.75" customHeight="1">
      <c r="A76" s="1"/>
      <c r="B76" s="206" t="s">
        <v>330</v>
      </c>
      <c r="C76" s="195">
        <f>N9+Print_Mois!$AF$585</f>
        <v>1060791.3900000048</v>
      </c>
      <c r="D76" s="195" t="e">
        <f>+Print_Mois!$Z$585</f>
        <v>#REF!</v>
      </c>
      <c r="E76" s="195">
        <f>+Print_Mois!$AL$585</f>
        <v>0</v>
      </c>
      <c r="F76" s="196" t="str">
        <f t="shared" si="35"/>
        <v/>
      </c>
      <c r="G76" s="197">
        <f t="shared" si="35"/>
        <v>1060791.3900000048</v>
      </c>
      <c r="H76" s="198" t="str">
        <f t="shared" si="36"/>
        <v/>
      </c>
      <c r="I76" s="199" t="str">
        <f t="shared" si="37"/>
        <v/>
      </c>
      <c r="J76" s="1062"/>
      <c r="K76" s="1"/>
      <c r="L76" s="1"/>
      <c r="M76" s="1"/>
      <c r="N76" s="1"/>
      <c r="O76" s="1"/>
      <c r="P76" s="1"/>
      <c r="Q76" s="1"/>
      <c r="R76" s="1"/>
      <c r="S76" s="1"/>
      <c r="T76" s="1"/>
      <c r="U76" s="1"/>
      <c r="V76" s="1"/>
      <c r="W76" s="1"/>
    </row>
    <row r="77" spans="1:23" ht="15.75" customHeight="1">
      <c r="A77" s="3"/>
      <c r="B77" s="178" t="s">
        <v>331</v>
      </c>
      <c r="C77" s="223">
        <f>+C76/Print_Mois!$AF$493</f>
        <v>5.5737043449583475E-2</v>
      </c>
      <c r="D77" s="223" t="e">
        <f>+D76/Print_Mois!$Z$493</f>
        <v>#REF!</v>
      </c>
      <c r="E77" s="223" t="e">
        <f>+E76/Print_Mois!$AL$493</f>
        <v>#DIV/0!</v>
      </c>
      <c r="F77" s="224" t="str">
        <f t="shared" si="35"/>
        <v/>
      </c>
      <c r="G77" s="225" t="str">
        <f t="shared" si="35"/>
        <v/>
      </c>
      <c r="H77" s="182" t="str">
        <f t="shared" si="36"/>
        <v/>
      </c>
      <c r="I77" s="183" t="str">
        <f t="shared" si="37"/>
        <v/>
      </c>
      <c r="J77" s="106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1180420.8400000047</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1084313.3900000048</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Décembre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Décembre 2025</v>
      </c>
      <c r="C87" s="671">
        <f>+C76</f>
        <v>1060791.3900000048</v>
      </c>
      <c r="D87" s="662">
        <f>+Print_AAD!AF585</f>
        <v>5055351.0000000075</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Décembre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Décembre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opLeftCell="A364" zoomScale="80" zoomScaleNormal="80" workbookViewId="0">
      <selection activeCell="B379" sqref="B379:C379"/>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Décembre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7" t="s">
        <v>339</v>
      </c>
      <c r="E3" s="1072"/>
      <c r="F3" s="1073"/>
      <c r="G3" s="1074"/>
      <c r="H3" s="1072"/>
      <c r="I3" s="1073"/>
      <c r="J3" s="1074" t="s">
        <v>340</v>
      </c>
      <c r="K3" s="1072"/>
      <c r="L3" s="1073"/>
      <c r="M3" s="1074" t="s">
        <v>668</v>
      </c>
      <c r="N3" s="1073"/>
      <c r="O3" s="1067" t="s">
        <v>341</v>
      </c>
      <c r="P3" s="1072"/>
      <c r="Q3" s="1073"/>
      <c r="R3" s="1066" t="s">
        <v>670</v>
      </c>
      <c r="S3" s="1075"/>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7771980.0400000066</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0</v>
      </c>
      <c r="S6" s="266">
        <f>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37</v>
      </c>
      <c r="K7" s="281">
        <f t="shared" si="0"/>
        <v>1976.2027027026995</v>
      </c>
      <c r="L7" s="266">
        <f>-SUMIFS(BV_Data_An_Cour!$AM:$AM,BV_Data_An_Cour!$AP:$AP,$B7,BV_Data_An_Cour!$AQ:$AQ,$C7,BV_Data_An_Cour!$AR:$AR,L$2)</f>
        <v>73119.499999999884</v>
      </c>
      <c r="M7" s="245">
        <f t="shared" si="1"/>
        <v>37</v>
      </c>
      <c r="N7" s="246">
        <f t="shared" si="2"/>
        <v>73119.499999999884</v>
      </c>
      <c r="O7" s="245">
        <f>SUMIFS(BV_Data_An_Prec!$AW:$AW,BV_Data_An_Prec!$AP:$AP,$B7,BV_Data_An_Prec!$AQ:$AQ,$C7,BV_Data_An_Prec!$AY:$AY,O$2)</f>
        <v>0</v>
      </c>
      <c r="P7" s="281">
        <f t="shared" si="3"/>
        <v>0</v>
      </c>
      <c r="Q7" s="266">
        <f>-SUMIFS(BV_Data_An_Prec!$AM:$AM,BV_Data_An_Prec!$AP:$AP,$B7,BV_Data_An_Prec!$AQ:$AQ,$C7,BV_Data_An_Prec!$AR:$AR,Q$2)</f>
        <v>0</v>
      </c>
      <c r="R7" s="245">
        <f>J7-O7</f>
        <v>37</v>
      </c>
      <c r="S7" s="266">
        <f>L7-Q7</f>
        <v>73119.499999999884</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1157</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3127</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17</v>
      </c>
      <c r="K9" s="281">
        <f t="shared" si="0"/>
        <v>436.17705882355051</v>
      </c>
      <c r="L9" s="266">
        <f>-SUMIFS(BV_Data_An_Cour!$AM:$AM,BV_Data_An_Cour!$AP:$AP,$B9,BV_Data_An_Cour!$AQ:$AQ,$C9,BV_Data_An_Cour!$AR:$AR,L$2)</f>
        <v>7415.0100000003586</v>
      </c>
      <c r="M9" s="245">
        <f t="shared" si="1"/>
        <v>17</v>
      </c>
      <c r="N9" s="246">
        <f t="shared" si="2"/>
        <v>7415.0100000003586</v>
      </c>
      <c r="O9" s="245">
        <f>SUMIFS(BV_Data_An_Prec!$AW:$AW,BV_Data_An_Prec!$AP:$AP,$B9,BV_Data_An_Prec!$AQ:$AQ,$C9,BV_Data_An_Prec!$AY:$AY,O$2)</f>
        <v>0</v>
      </c>
      <c r="P9" s="281">
        <f t="shared" si="3"/>
        <v>0</v>
      </c>
      <c r="Q9" s="266">
        <f>-SUMIFS(BV_Data_An_Prec!$AM:$AM,BV_Data_An_Prec!$AP:$AP,$B9,BV_Data_An_Prec!$AQ:$AQ,$C9,BV_Data_An_Prec!$AR:$AR,Q$2)</f>
        <v>0</v>
      </c>
      <c r="R9" s="245">
        <f>J9-O9</f>
        <v>17</v>
      </c>
      <c r="S9" s="266">
        <f t="shared" ref="S9:S12" si="5">L9-Q9</f>
        <v>7415.0100000003586</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54</v>
      </c>
      <c r="K13" s="355">
        <f>IF(J13&lt;=0,0,L13/J13)</f>
        <v>1491.3798148148194</v>
      </c>
      <c r="L13" s="356">
        <f>+SUM(L6:L12)</f>
        <v>80534.510000000242</v>
      </c>
      <c r="M13" s="252">
        <f>+SUM(M6:M12)</f>
        <v>54</v>
      </c>
      <c r="N13" s="251">
        <f>+SUM(N6:N12)</f>
        <v>80534.510000000242</v>
      </c>
      <c r="O13" s="252">
        <f>+SUM(O6:O12)</f>
        <v>0</v>
      </c>
      <c r="P13" s="355">
        <f>IF(O13&lt;=0,0,Q13/O13)</f>
        <v>0</v>
      </c>
      <c r="Q13" s="356">
        <f>+SUM(Q6:Q12)</f>
        <v>0</v>
      </c>
      <c r="R13" s="252">
        <f>+SUM(R6:R12)</f>
        <v>54</v>
      </c>
      <c r="S13" s="356">
        <f>+SUM(S6:S12)</f>
        <v>80534.510000000242</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63</v>
      </c>
      <c r="K17" s="281">
        <f>IF(J17=0,0,L17/J17)</f>
        <v>79.291587301662986</v>
      </c>
      <c r="L17" s="266">
        <f>-SUMIFS(BV_Data_An_Cour!$AM:$AM,BV_Data_An_Cour!$AP:$AP,$B17,BV_Data_An_Cour!$AQ:$AQ,$C17,BV_Data_An_Cour!$AR:$AR,L$2)</f>
        <v>4995.3700000047684</v>
      </c>
      <c r="M17" s="257">
        <f>J17-D17</f>
        <v>63</v>
      </c>
      <c r="N17" s="246">
        <f>L17-F17</f>
        <v>4995.3700000047684</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63</v>
      </c>
      <c r="S17" s="266">
        <f>L17-Q17</f>
        <v>4995.3700000047684</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22.222222222222221</v>
      </c>
      <c r="L21" s="266">
        <f>-SUMIFS(BV_Data_An_Cour!$AM:$AM,BV_Data_An_Cour!$AP:$AP,$B21,BV_Data_An_Cour!$AQ:$AQ,$C21,BV_Data_An_Cour!$AR:$AR,L$2)</f>
        <v>1200</v>
      </c>
      <c r="M21" s="245"/>
      <c r="N21" s="246">
        <f>L21-F21</f>
        <v>1200</v>
      </c>
      <c r="O21" s="245"/>
      <c r="P21" s="281">
        <f>IF(O13=0,0,Q21/(O13+O15))</f>
        <v>0</v>
      </c>
      <c r="Q21" s="266">
        <f>-SUMIFS(BV_Data_An_Prec!$AM:$AM,BV_Data_An_Prec!$AP:$AP,$B21,BV_Data_An_Prec!$AQ:$AQ,$C21,BV_Data_An_Prec!$AR:$AR,Q$2)</f>
        <v>0</v>
      </c>
      <c r="R21" s="267">
        <f>P21-K21</f>
        <v>-22.222222222222221</v>
      </c>
      <c r="S21" s="266">
        <f t="shared" ref="S21:S23" si="7">L21-Q21</f>
        <v>1200</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620.12592592592455</v>
      </c>
      <c r="L22" s="266">
        <f>-SUMIFS(BV_Data_An_Cour!$AM:$AM,BV_Data_An_Cour!$AP:$AP,$B22,BV_Data_An_Cour!$AQ:$AQ,$C22,BV_Data_An_Cour!$AR:$AR,L$2)</f>
        <v>33486.799999999923</v>
      </c>
      <c r="M22" s="245"/>
      <c r="N22" s="246">
        <f>L22-F22</f>
        <v>33486.799999999923</v>
      </c>
      <c r="O22" s="245"/>
      <c r="P22" s="281">
        <f>IF(O13=0,0,Q22/(O13+O15))</f>
        <v>0</v>
      </c>
      <c r="Q22" s="266">
        <f>-SUMIFS(BV_Data_An_Prec!$AM:$AM,BV_Data_An_Prec!$AP:$AP,$B22,BV_Data_An_Prec!$AQ:$AQ,$C22,BV_Data_An_Prec!$AR:$AR,Q$2)</f>
        <v>0</v>
      </c>
      <c r="R22" s="267">
        <f t="shared" ref="R22:R23" si="8">P22-K22</f>
        <v>-620.12592592592455</v>
      </c>
      <c r="S22" s="266">
        <f t="shared" si="7"/>
        <v>33486.799999999923</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41.761481481481496</v>
      </c>
      <c r="L23" s="266">
        <f>-SUMIFS(BV_Data_An_Cour!$AM:$AM,BV_Data_An_Cour!$AP:$AP,$B23,BV_Data_An_Cour!$AQ:$AQ,$C23,BV_Data_An_Cour!$AR:$AR,L$2)</f>
        <v>2255.1200000000008</v>
      </c>
      <c r="M23" s="257"/>
      <c r="N23" s="246">
        <f>L23-F23</f>
        <v>2255.1200000000008</v>
      </c>
      <c r="O23" s="245"/>
      <c r="P23" s="281">
        <f>IF(O13=0,0,Q23/(O13+O15))</f>
        <v>0</v>
      </c>
      <c r="Q23" s="266">
        <f>-SUMIFS(BV_Data_An_Prec!$AM:$AM,BV_Data_An_Prec!$AP:$AP,$B23,BV_Data_An_Prec!$AQ:$AQ,$C23,BV_Data_An_Prec!$AR:$AR,Q$2)</f>
        <v>0</v>
      </c>
      <c r="R23" s="267">
        <f t="shared" si="8"/>
        <v>-41.761481481481496</v>
      </c>
      <c r="S23" s="266">
        <f t="shared" si="7"/>
        <v>2255.1200000000008</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54</v>
      </c>
      <c r="K24" s="355">
        <f>IF(J24&lt;=0,0,L24/J24)</f>
        <v>684.10962962962822</v>
      </c>
      <c r="L24" s="356">
        <f>L21+L22+L23</f>
        <v>36941.919999999925</v>
      </c>
      <c r="M24" s="265">
        <f>J24-D24</f>
        <v>54</v>
      </c>
      <c r="N24" s="251">
        <f>L24-F24</f>
        <v>36941.919999999925</v>
      </c>
      <c r="O24" s="252">
        <f>+O15+O13</f>
        <v>0</v>
      </c>
      <c r="P24" s="355">
        <f>IF(O24&lt;=0,0,Q24/O24)</f>
        <v>0</v>
      </c>
      <c r="Q24" s="356">
        <f>Q21+Q22+Q23</f>
        <v>0</v>
      </c>
      <c r="R24" s="337">
        <f>P24-K24</f>
        <v>-684.10962962962822</v>
      </c>
      <c r="S24" s="356">
        <f>L24-Q24</f>
        <v>36941.919999999925</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117</v>
      </c>
      <c r="K27" s="269">
        <f>IF(J27&lt;=0,0,L27/J27)</f>
        <v>1046.7675213675636</v>
      </c>
      <c r="L27" s="271">
        <f>L13+L17+L24+L19+L15</f>
        <v>122471.80000000494</v>
      </c>
      <c r="M27" s="272">
        <f>J27-D27</f>
        <v>117</v>
      </c>
      <c r="N27" s="271">
        <f>L27-F27</f>
        <v>122471.80000000494</v>
      </c>
      <c r="O27" s="272">
        <f>+O13+O15+O17</f>
        <v>0</v>
      </c>
      <c r="P27" s="269">
        <f>IF(O27&lt;=0,0,Q27/O27)</f>
        <v>0</v>
      </c>
      <c r="Q27" s="271">
        <f>Q13+Q17+Q24+Q19+Q15</f>
        <v>0</v>
      </c>
      <c r="R27" s="272">
        <f>J27-O27</f>
        <v>117</v>
      </c>
      <c r="S27" s="271">
        <f>L27-Q27</f>
        <v>122471.80000000494</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0.47453053833347669</v>
      </c>
      <c r="K31" s="281">
        <f>IF(L31=0,0,L31/J$24)</f>
        <v>751.60259259259328</v>
      </c>
      <c r="L31" s="266">
        <f>SUMIFS(BV_Data_An_Cour!$AM:$AM,BV_Data_An_Cour!$AP:$AP,$B31,BV_Data_An_Cour!$AQ:$AQ,$C31,BV_Data_An_Cour!$AR:$AR,L$2)</f>
        <v>40586.540000000037</v>
      </c>
      <c r="M31" s="243"/>
      <c r="N31" s="266">
        <f t="shared" ref="N31:N53" si="10">L31-F31</f>
        <v>40586.540000000037</v>
      </c>
      <c r="O31" s="282" t="e">
        <f>Q31/(Q15+Q13+Q17)</f>
        <v>#DIV/0!</v>
      </c>
      <c r="P31" s="281">
        <f>IF(Q31=0,0,Q31/O$24)</f>
        <v>0</v>
      </c>
      <c r="Q31" s="266">
        <f>SUMIFS(BV_Data_An_Prec!$AM:$AM,BV_Data_An_Prec!$AP:$AP,$B31,BV_Data_An_Prec!$AQ:$AQ,$C31,BV_Data_An_Prec!$AR:$AR,Q$2)</f>
        <v>0</v>
      </c>
      <c r="R31" s="243"/>
      <c r="S31" s="266">
        <f>L31-Q31</f>
        <v>40586.540000000037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0.3262036732254312</v>
      </c>
      <c r="K32" s="284">
        <f t="shared" ref="K32:K39" si="11">IF(L32=0,0,L32/J$24)</f>
        <v>223.159074074074</v>
      </c>
      <c r="L32" s="266">
        <f>SUMIFS(BV_Data_An_Cour!$AM:$AM,BV_Data_An_Cour!$AP:$AP,$B32,BV_Data_An_Cour!$AQ:$AQ,$C32,BV_Data_An_Cour!$AR:$AR,L$2)</f>
        <v>12050.589999999997</v>
      </c>
      <c r="M32" s="238"/>
      <c r="N32" s="286">
        <f t="shared" si="10"/>
        <v>12050.589999999997</v>
      </c>
      <c r="O32" s="285" t="e">
        <f>Q32/Q24</f>
        <v>#DIV/0!</v>
      </c>
      <c r="P32" s="284">
        <f t="shared" ref="P32:P39" si="12">IF(Q32=0,0,Q32/O$24)</f>
        <v>0</v>
      </c>
      <c r="Q32" s="286">
        <f>SUMIFS(BV_Data_An_Prec!$AM:$AM,BV_Data_An_Prec!$AP:$AP,$B32,BV_Data_An_Prec!$AQ:$AQ,$C32,BV_Data_An_Prec!$AR:$AR,Q$2)</f>
        <v>0</v>
      </c>
      <c r="R32" s="238"/>
      <c r="S32" s="286">
        <f t="shared" ref="S32:S39" si="13">L32-Q32</f>
        <v>12050.589999999997</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-227.61833333333331</v>
      </c>
      <c r="L33" s="954">
        <f>SUMIFS(BV_Data_An_Cour!$AM:$AM,BV_Data_An_Cour!$AP:$AP,$B33,BV_Data_An_Cour!$AQ:$AQ,$C33,BV_Data_An_Cour!$AR:$AR,L$2)</f>
        <v>-12291.39</v>
      </c>
      <c r="M33" s="243"/>
      <c r="N33" s="266">
        <f t="shared" si="10"/>
        <v>-12291.39</v>
      </c>
      <c r="O33" s="243"/>
      <c r="P33" s="281">
        <f t="shared" si="12"/>
        <v>0</v>
      </c>
      <c r="Q33" s="266">
        <f>SUMIFS(BV_Data_An_Prec!$AM:$AM,BV_Data_An_Prec!$AP:$AP,$B33,BV_Data_An_Prec!$AQ:$AQ,$C33,BV_Data_An_Prec!$AR:$AR,Q$2)</f>
        <v>0</v>
      </c>
      <c r="R33" s="243"/>
      <c r="S33" s="266">
        <f t="shared" si="13"/>
        <v>-12291.39</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0</v>
      </c>
      <c r="L34" s="266">
        <f>SUMIFS(BV_Data_An_Cour!$AM:$AM,BV_Data_An_Cour!$AP:$AP,$B34,BV_Data_An_Cour!$AQ:$AQ,$C34,BV_Data_An_Cour!$AR:$AR,L$2)</f>
        <v>0</v>
      </c>
      <c r="M34" s="243"/>
      <c r="N34" s="266">
        <f t="shared" si="10"/>
        <v>0</v>
      </c>
      <c r="O34" s="243"/>
      <c r="P34" s="281">
        <f t="shared" si="12"/>
        <v>0</v>
      </c>
      <c r="Q34" s="266">
        <f>SUMIFS(BV_Data_An_Prec!$AM:$AM,BV_Data_An_Prec!$AP:$AP,$B34,BV_Data_An_Prec!$AQ:$AQ,$C34,BV_Data_An_Prec!$AR:$AR,Q$2)</f>
        <v>0</v>
      </c>
      <c r="R34" s="243"/>
      <c r="S34" s="266">
        <f t="shared" si="13"/>
        <v>0</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-2429.6520370370376</v>
      </c>
      <c r="L36" s="954">
        <f>SUMIFS(BV_Data_An_Cour!$AM:$AM,BV_Data_An_Cour!$AP:$AP,$B36,BV_Data_An_Cour!$AQ:$AQ,$C36,BV_Data_An_Cour!$AR:$AR,L$2)</f>
        <v>-131201.21000000002</v>
      </c>
      <c r="M36" s="243"/>
      <c r="N36" s="266">
        <f t="shared" si="10"/>
        <v>-131201.21000000002</v>
      </c>
      <c r="O36" s="243"/>
      <c r="P36" s="281">
        <f t="shared" si="12"/>
        <v>0</v>
      </c>
      <c r="Q36" s="266">
        <f>SUMIFS(BV_Data_An_Prec!$AM:$AM,BV_Data_An_Prec!$AP:$AP,$B36,BV_Data_An_Prec!$AQ:$AQ,$C36,BV_Data_An_Prec!$AR:$AR,Q$2)</f>
        <v>0</v>
      </c>
      <c r="R36" s="243"/>
      <c r="S36" s="266">
        <f t="shared" si="13"/>
        <v>-131201.21000000002</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1645.1179629629628</v>
      </c>
      <c r="L37" s="266">
        <f>SUMIFS(BV_Data_An_Cour!$AM:$AM,BV_Data_An_Cour!$AP:$AP,$B37,BV_Data_An_Cour!$AQ:$AQ,$C37,BV_Data_An_Cour!$AR:$AR,L$2)</f>
        <v>88836.37</v>
      </c>
      <c r="M37" s="243"/>
      <c r="N37" s="658">
        <f t="shared" si="10"/>
        <v>88836.37</v>
      </c>
      <c r="O37" s="243"/>
      <c r="P37" s="281">
        <f t="shared" si="12"/>
        <v>0</v>
      </c>
      <c r="Q37" s="266">
        <f>SUMIFS(BV_Data_An_Prec!$AM:$AM,BV_Data_An_Prec!$AP:$AP,$B37,BV_Data_An_Prec!$AQ:$AQ,$C37,BV_Data_An_Prec!$AR:$AR,Q$2)</f>
        <v>0</v>
      </c>
      <c r="R37" s="243"/>
      <c r="S37" s="266">
        <f t="shared" si="13"/>
        <v>88836.37</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3128</v>
      </c>
      <c r="D38" s="287"/>
      <c r="E38" s="281" t="e">
        <f t="shared" si="9"/>
        <v>#DIV/0!</v>
      </c>
      <c r="F38" s="244">
        <f>+INDEX('Budget original'!$A$2:$AO$501,MATCH($A38,'Budget original'!$A$2:$A$501,0),MATCH(F$2,'Budget original'!$A$2:$AO$2,0))</f>
        <v>0</v>
      </c>
      <c r="G38" s="288"/>
      <c r="H38" s="281"/>
      <c r="I38" s="244"/>
      <c r="J38" s="243"/>
      <c r="K38" s="281">
        <f t="shared" si="11"/>
        <v>-4397.7772222222175</v>
      </c>
      <c r="L38" s="266">
        <f>SUMIFS(BV_Data_An_Cour!$AM:$AM,BV_Data_An_Cour!$AP:$AP,$B38,BV_Data_An_Cour!$AQ:$AQ,$C38,BV_Data_An_Cour!$AR:$AR,L$2)</f>
        <v>-237479.96999999974</v>
      </c>
      <c r="M38" s="38"/>
      <c r="N38" s="266">
        <f t="shared" si="10"/>
        <v>-237479.96999999974</v>
      </c>
      <c r="O38" s="243"/>
      <c r="P38" s="281">
        <f t="shared" si="12"/>
        <v>0</v>
      </c>
      <c r="Q38" s="266">
        <f>SUMIFS(BV_Data_An_Prec!$AM:$AM,BV_Data_An_Prec!$AP:$AP,$B38,BV_Data_An_Prec!$AQ:$AQ,$C38,BV_Data_An_Prec!$AR:$AR,Q$2)</f>
        <v>0</v>
      </c>
      <c r="R38" s="243"/>
      <c r="S38" s="266">
        <f t="shared" si="13"/>
        <v>-237479.96999999974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3129</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-1.9555446233336169</v>
      </c>
      <c r="L41" s="294">
        <f>SUM(L31:L40)</f>
        <v>-239499.06999999972</v>
      </c>
      <c r="M41" s="296"/>
      <c r="N41" s="294">
        <f t="shared" si="10"/>
        <v>-239499.06999999972</v>
      </c>
      <c r="O41" s="295" t="s">
        <v>115</v>
      </c>
      <c r="P41" s="293" t="e">
        <f>Q41/Q$27</f>
        <v>#DIV/0!</v>
      </c>
      <c r="Q41" s="294">
        <f>SUM(Q31:Q40)</f>
        <v>0</v>
      </c>
      <c r="R41" s="297"/>
      <c r="S41" s="294">
        <f t="shared" si="16"/>
        <v>-239499.06999999972</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19931.380000000005</v>
      </c>
      <c r="M42" s="243"/>
      <c r="N42" s="266">
        <f t="shared" si="10"/>
        <v>19931.380000000005</v>
      </c>
      <c r="O42" s="243"/>
      <c r="P42" s="38"/>
      <c r="Q42" s="281">
        <f>SUMIFS(BV_Data_An_Prec!$AM:$AM,BV_Data_An_Prec!$AP:$AP,$B42,BV_Data_An_Prec!$AQ:$AQ,$C42,BV_Data_An_Prec!$AR:$AR,Q$2)</f>
        <v>0</v>
      </c>
      <c r="R42" s="243"/>
      <c r="S42" s="266">
        <f t="shared" si="16"/>
        <v>19931.380000000005</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28728.450000000012</v>
      </c>
      <c r="M43" s="243"/>
      <c r="N43" s="266">
        <f t="shared" si="10"/>
        <v>28728.450000000012</v>
      </c>
      <c r="O43" s="243"/>
      <c r="P43" s="38"/>
      <c r="Q43" s="286">
        <f>SUMIFS(BV_Data_An_Prec!$AM:$AM,BV_Data_An_Prec!$AP:$AP,$B43,BV_Data_An_Prec!$AQ:$AQ,$C43,BV_Data_An_Prec!$AR:$AR,Q$2)</f>
        <v>0</v>
      </c>
      <c r="R43" s="243"/>
      <c r="S43" s="266">
        <f t="shared" si="16"/>
        <v>28728.450000000012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3322.9599999999991</v>
      </c>
      <c r="M44" s="233"/>
      <c r="N44" s="303">
        <f t="shared" si="10"/>
        <v>3322.9599999999991</v>
      </c>
      <c r="O44" s="233"/>
      <c r="P44" s="301"/>
      <c r="Q44" s="281">
        <f>SUMIFS(BV_Data_An_Prec!$AM:$AM,BV_Data_An_Prec!$AP:$AP,$B44,BV_Data_An_Prec!$AQ:$AQ,$C44,BV_Data_An_Prec!$AR:$AR,Q$2)</f>
        <v>0</v>
      </c>
      <c r="R44" s="233"/>
      <c r="S44" s="303">
        <f t="shared" si="16"/>
        <v>3322.9599999999991</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1663.2300000000105</v>
      </c>
      <c r="M49" s="243"/>
      <c r="N49" s="266">
        <f t="shared" si="10"/>
        <v>1663.2300000000105</v>
      </c>
      <c r="O49" s="243"/>
      <c r="P49" s="38"/>
      <c r="Q49" s="286">
        <f>SUMIFS(BV_Data_An_Prec!$AM:$AM,BV_Data_An_Prec!$AP:$AP,$B49,BV_Data_An_Prec!$AQ:$AQ,$C49,BV_Data_An_Prec!$AR:$AR,Q$2)</f>
        <v>0</v>
      </c>
      <c r="R49" s="243"/>
      <c r="S49" s="266">
        <f t="shared" si="16"/>
        <v>1663.2300000000105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15343.140000000014</v>
      </c>
      <c r="M50" s="233"/>
      <c r="N50" s="303">
        <f t="shared" si="10"/>
        <v>15343.140000000014</v>
      </c>
      <c r="O50" s="233"/>
      <c r="P50" s="301"/>
      <c r="Q50" s="281">
        <f>SUMIFS(BV_Data_An_Prec!$AM:$AM,BV_Data_An_Prec!$AP:$AP,$B50,BV_Data_An_Prec!$AQ:$AQ,$C50,BV_Data_An_Prec!$AR:$AR,Q$2)</f>
        <v>0</v>
      </c>
      <c r="R50" s="233"/>
      <c r="S50" s="303">
        <f t="shared" si="16"/>
        <v>15343.140000000014</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27024.390000000007</v>
      </c>
      <c r="M51" s="243"/>
      <c r="N51" s="266">
        <f t="shared" si="10"/>
        <v>27024.390000000007</v>
      </c>
      <c r="O51" s="243"/>
      <c r="P51" s="38"/>
      <c r="Q51" s="281">
        <f>SUMIFS(BV_Data_An_Prec!$AM:$AM,BV_Data_An_Prec!$AP:$AP,$B51,BV_Data_An_Prec!$AQ:$AQ,$C51,BV_Data_An_Prec!$AR:$AR,Q$2)</f>
        <v>0</v>
      </c>
      <c r="R51" s="243"/>
      <c r="S51" s="266">
        <f t="shared" si="16"/>
        <v>27024.390000000007</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-7470.17</v>
      </c>
      <c r="M52" s="243"/>
      <c r="N52" s="266">
        <f t="shared" si="10"/>
        <v>-7470.17</v>
      </c>
      <c r="O52" s="243"/>
      <c r="P52" s="38"/>
      <c r="Q52" s="281">
        <f>SUMIFS(BV_Data_An_Prec!$AM:$AM,BV_Data_An_Prec!$AP:$AP,$B52,BV_Data_An_Prec!$AQ:$AQ,$C52,BV_Data_An_Prec!$AR:$AR,Q$2)</f>
        <v>0</v>
      </c>
      <c r="R52" s="243"/>
      <c r="S52" s="266">
        <f t="shared" si="16"/>
        <v>-7470.17</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0.72296953257808316</v>
      </c>
      <c r="L54" s="294">
        <f>+SUM(L42:L53)</f>
        <v>88543.380000000048</v>
      </c>
      <c r="M54" s="296"/>
      <c r="N54" s="294">
        <f>+SUM(N42:N53)</f>
        <v>88543.380000000048</v>
      </c>
      <c r="O54" s="295" t="s">
        <v>115</v>
      </c>
      <c r="P54" s="293" t="e">
        <f>Q54/Q$27</f>
        <v>#DIV/0!</v>
      </c>
      <c r="Q54" s="294">
        <f>+SUM(Q42:Q53)</f>
        <v>0</v>
      </c>
      <c r="R54" s="297"/>
      <c r="S54" s="294">
        <f>+SUM(S42:S53)</f>
        <v>88543.380000000048</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7762.0699999999924</v>
      </c>
      <c r="M57" s="238"/>
      <c r="N57" s="286">
        <f t="shared" si="17"/>
        <v>7762.0699999999924</v>
      </c>
      <c r="O57" s="238"/>
      <c r="P57" s="304"/>
      <c r="Q57" s="286">
        <f>SUMIFS(BV_Data_An_Prec!$AM:$AM,BV_Data_An_Prec!$AP:$AP,$B57,BV_Data_An_Prec!$AQ:$AQ,$C57,BV_Data_An_Prec!$AR:$AR,Q$2)</f>
        <v>0</v>
      </c>
      <c r="R57" s="238"/>
      <c r="S57" s="286">
        <f t="shared" si="18"/>
        <v>7762.0699999999924</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4007.8500000000058</v>
      </c>
      <c r="M58" s="243"/>
      <c r="N58" s="266">
        <f t="shared" si="17"/>
        <v>4007.8500000000058</v>
      </c>
      <c r="O58" s="243"/>
      <c r="P58" s="38"/>
      <c r="Q58" s="266">
        <f>SUMIFS(BV_Data_An_Prec!$AM:$AM,BV_Data_An_Prec!$AP:$AP,$B58,BV_Data_An_Prec!$AQ:$AQ,$C58,BV_Data_An_Prec!$AR:$AR,Q$2)</f>
        <v>0</v>
      </c>
      <c r="R58" s="243"/>
      <c r="S58" s="266">
        <f t="shared" si="18"/>
        <v>4007.8500000000058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-4684.2199999999966</v>
      </c>
      <c r="M59" s="243"/>
      <c r="N59" s="266">
        <f t="shared" si="17"/>
        <v>-4684.2199999999966</v>
      </c>
      <c r="O59" s="243"/>
      <c r="P59" s="38"/>
      <c r="Q59" s="266">
        <f>SUMIFS(BV_Data_An_Prec!$AM:$AM,BV_Data_An_Prec!$AP:$AP,$B59,BV_Data_An_Prec!$AQ:$AQ,$C59,BV_Data_An_Prec!$AR:$AR,Q$2)</f>
        <v>0</v>
      </c>
      <c r="R59" s="243"/>
      <c r="S59" s="266">
        <f t="shared" si="18"/>
        <v>-4684.2199999999966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5658.4700000000012</v>
      </c>
      <c r="M60" s="238"/>
      <c r="N60" s="286">
        <f t="shared" si="17"/>
        <v>5658.4700000000012</v>
      </c>
      <c r="O60" s="238"/>
      <c r="P60" s="304"/>
      <c r="Q60" s="286">
        <f>SUMIFS(BV_Data_An_Prec!$AM:$AM,BV_Data_An_Prec!$AP:$AP,$B60,BV_Data_An_Prec!$AQ:$AQ,$C60,BV_Data_An_Prec!$AR:$AR,Q$2)</f>
        <v>0</v>
      </c>
      <c r="R60" s="238"/>
      <c r="S60" s="286">
        <f t="shared" si="18"/>
        <v>5658.4700000000012</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106.02999999999975</v>
      </c>
      <c r="M61" s="243"/>
      <c r="N61" s="266">
        <f t="shared" si="17"/>
        <v>106.02999999999975</v>
      </c>
      <c r="O61" s="243"/>
      <c r="P61" s="38"/>
      <c r="Q61" s="266">
        <f>SUMIFS(BV_Data_An_Prec!$AM:$AM,BV_Data_An_Prec!$AP:$AP,$B61,BV_Data_An_Prec!$AQ:$AQ,$C61,BV_Data_An_Prec!$AR:$AR,Q$2)</f>
        <v>0</v>
      </c>
      <c r="R61" s="243"/>
      <c r="S61" s="266">
        <f t="shared" si="18"/>
        <v>106.02999999999975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2616.0299999999988</v>
      </c>
      <c r="M63" s="243"/>
      <c r="N63" s="266">
        <f t="shared" si="17"/>
        <v>2616.0299999999988</v>
      </c>
      <c r="O63" s="243"/>
      <c r="P63" s="38"/>
      <c r="Q63" s="266">
        <f>SUMIFS(BV_Data_An_Prec!$AM:$AM,BV_Data_An_Prec!$AP:$AP,$B63,BV_Data_An_Prec!$AQ:$AQ,$C63,BV_Data_An_Prec!$AR:$AR,Q$2)</f>
        <v>0</v>
      </c>
      <c r="R63" s="243"/>
      <c r="S63" s="266">
        <f t="shared" si="18"/>
        <v>2616.0299999999988</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312.31999999999971</v>
      </c>
      <c r="M64" s="243"/>
      <c r="N64" s="266">
        <f t="shared" si="17"/>
        <v>312.31999999999971</v>
      </c>
      <c r="O64" s="243"/>
      <c r="P64" s="38"/>
      <c r="Q64" s="266">
        <f>SUMIFS(BV_Data_An_Prec!$AM:$AM,BV_Data_An_Prec!$AP:$AP,$B64,BV_Data_An_Prec!$AQ:$AQ,$C64,BV_Data_An_Prec!$AR:$AR,Q$2)</f>
        <v>0</v>
      </c>
      <c r="R64" s="243"/>
      <c r="S64" s="266">
        <f t="shared" si="18"/>
        <v>312.31999999999971</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1611.42</v>
      </c>
      <c r="M65" s="243"/>
      <c r="N65" s="266">
        <f t="shared" si="17"/>
        <v>1611.42</v>
      </c>
      <c r="O65" s="243"/>
      <c r="P65" s="38"/>
      <c r="Q65" s="266">
        <f>SUMIFS(BV_Data_An_Prec!$AM:$AM,BV_Data_An_Prec!$AP:$AP,$B65,BV_Data_An_Prec!$AQ:$AQ,$C65,BV_Data_An_Prec!$AR:$AR,Q$2)</f>
        <v>0</v>
      </c>
      <c r="R65" s="243"/>
      <c r="S65" s="266">
        <f t="shared" si="18"/>
        <v>1611.42</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4754.8100000000013</v>
      </c>
      <c r="M66" s="243"/>
      <c r="N66" s="266">
        <f t="shared" si="17"/>
        <v>4754.8100000000013</v>
      </c>
      <c r="O66" s="243"/>
      <c r="P66" s="38"/>
      <c r="Q66" s="266">
        <f>SUMIFS(BV_Data_An_Prec!$AM:$AM,BV_Data_An_Prec!$AP:$AP,$B66,BV_Data_An_Prec!$AQ:$AQ,$C66,BV_Data_An_Prec!$AR:$AR,Q$2)</f>
        <v>0</v>
      </c>
      <c r="R66" s="243"/>
      <c r="S66" s="266">
        <f t="shared" si="18"/>
        <v>4754.8100000000013</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760.00000000000091</v>
      </c>
      <c r="M67" s="243"/>
      <c r="N67" s="266">
        <f t="shared" si="17"/>
        <v>760.00000000000091</v>
      </c>
      <c r="O67" s="243"/>
      <c r="P67" s="38"/>
      <c r="Q67" s="266">
        <f>SUMIFS(BV_Data_An_Prec!$AM:$AM,BV_Data_An_Prec!$AP:$AP,$B67,BV_Data_An_Prec!$AQ:$AQ,$C67,BV_Data_An_Prec!$AR:$AR,Q$2)</f>
        <v>0</v>
      </c>
      <c r="R67" s="243"/>
      <c r="S67" s="266">
        <f t="shared" si="18"/>
        <v>760.00000000000091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1669.7200000000003</v>
      </c>
      <c r="M68" s="243"/>
      <c r="N68" s="658">
        <f t="shared" si="17"/>
        <v>1669.7200000000003</v>
      </c>
      <c r="O68" s="243"/>
      <c r="P68" s="38"/>
      <c r="Q68" s="266">
        <f>SUMIFS(BV_Data_An_Prec!$AM:$AM,BV_Data_An_Prec!$AP:$AP,$B68,BV_Data_An_Prec!$AQ:$AQ,$C68,BV_Data_An_Prec!$AR:$AR,Q$2)</f>
        <v>0</v>
      </c>
      <c r="R68" s="243"/>
      <c r="S68" s="266">
        <f t="shared" si="18"/>
        <v>1669.7200000000003</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0.20065435471675122</v>
      </c>
      <c r="L72" s="294">
        <f>+SUM(L55:L71)</f>
        <v>24574.500000000004</v>
      </c>
      <c r="M72" s="296"/>
      <c r="N72" s="294">
        <f>+SUM(N55:N71)</f>
        <v>24574.500000000004</v>
      </c>
      <c r="O72" s="295" t="s">
        <v>115</v>
      </c>
      <c r="P72" s="293" t="e">
        <f>Q72/Q$27</f>
        <v>#DIV/0!</v>
      </c>
      <c r="Q72" s="294">
        <f>+SUM(Q55:Q71)</f>
        <v>0</v>
      </c>
      <c r="R72" s="297"/>
      <c r="S72" s="294">
        <f>+SUM(S55:S71)</f>
        <v>24574.500000000004</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-1.0319207360387825</v>
      </c>
      <c r="L74" s="294">
        <f>L41+L54+L72</f>
        <v>-126381.18999999965</v>
      </c>
      <c r="M74" s="296"/>
      <c r="N74" s="294">
        <f t="shared" ref="N74:N82" si="19">L74-F74</f>
        <v>-126381.18999999965</v>
      </c>
      <c r="O74" s="295" t="s">
        <v>115</v>
      </c>
      <c r="P74" s="293" t="e">
        <f>Q74/Q$27</f>
        <v>#DIV/0!</v>
      </c>
      <c r="Q74" s="294">
        <f>Q41+Q54+Q72</f>
        <v>0</v>
      </c>
      <c r="R74" s="297"/>
      <c r="S74" s="294">
        <f>L74-Q74</f>
        <v>-126381.18999999965</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3135</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5621.929999999993</v>
      </c>
      <c r="M75" s="243"/>
      <c r="N75" s="266">
        <f t="shared" si="19"/>
        <v>5621.929999999993</v>
      </c>
      <c r="O75" s="243"/>
      <c r="P75" s="38"/>
      <c r="Q75" s="266">
        <f>-SUMIFS(BV_Data_An_Prec!$AM:$AM,BV_Data_An_Prec!$AP:$AP,$B75,BV_Data_An_Prec!$AQ:$AQ,$C75,BV_Data_An_Prec!$AR:$AR,Q$2)-Q157</f>
        <v>0</v>
      </c>
      <c r="R75" s="243"/>
      <c r="S75" s="266">
        <f t="shared" ref="S75:S82" si="20">L75-Q75</f>
        <v>5621.929999999993</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5621.929999999993</v>
      </c>
      <c r="M83" s="296"/>
      <c r="N83" s="294">
        <f>+SUM(N75:N82)</f>
        <v>5621.929999999993</v>
      </c>
      <c r="O83" s="295"/>
      <c r="P83" s="293"/>
      <c r="Q83" s="294">
        <f>+SUM(Q75:Q82)</f>
        <v>0</v>
      </c>
      <c r="R83" s="297"/>
      <c r="S83" s="294">
        <f>+SUM(S75:S82)</f>
        <v>5621.929999999993</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254474.92000000458</v>
      </c>
      <c r="M85" s="960"/>
      <c r="N85" s="958">
        <f>N27-N41-N54-N72+N83</f>
        <v>254474.92000000458</v>
      </c>
      <c r="O85" s="959"/>
      <c r="P85" s="957"/>
      <c r="Q85" s="958">
        <f>Q27-Q74+Q83</f>
        <v>0</v>
      </c>
      <c r="R85" s="961"/>
      <c r="S85" s="958">
        <f>S27-S41-S54-S72+S83</f>
        <v>254474.92000000458</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Décembre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7" t="s">
        <v>339</v>
      </c>
      <c r="E91" s="1072"/>
      <c r="F91" s="1073"/>
      <c r="G91" s="1074"/>
      <c r="H91" s="1072"/>
      <c r="I91" s="1073"/>
      <c r="J91" s="1074" t="s">
        <v>340</v>
      </c>
      <c r="K91" s="1072"/>
      <c r="L91" s="1073"/>
      <c r="M91" s="1074" t="s">
        <v>668</v>
      </c>
      <c r="N91" s="1073"/>
      <c r="O91" s="1067" t="s">
        <v>341</v>
      </c>
      <c r="P91" s="1072"/>
      <c r="Q91" s="1073"/>
      <c r="R91" s="1066" t="s">
        <v>670</v>
      </c>
      <c r="S91" s="1075"/>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1626253.6399999987</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15</v>
      </c>
      <c r="K95" s="281">
        <f t="shared" si="21"/>
        <v>461.80000000003105</v>
      </c>
      <c r="L95" s="266">
        <f>-SUMIFS(BV_Data_An_Cour!$AM:$AM,BV_Data_An_Cour!$AP:$AP,$B95,BV_Data_An_Cour!$AQ:$AQ,$C95,BV_Data_An_Cour!$AR:$AR,$L2)</f>
        <v>6927.0000000004657</v>
      </c>
      <c r="M95" s="245">
        <f>J95-D95</f>
        <v>15</v>
      </c>
      <c r="N95" s="246">
        <f>L95-F95</f>
        <v>6927.0000000004657</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15</v>
      </c>
      <c r="S95" s="266">
        <f t="shared" si="24"/>
        <v>6927.0000000004657</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15</v>
      </c>
      <c r="K97" s="305">
        <f>IF(J97&lt;=0,0,L97/J97)</f>
        <v>461.80000000003105</v>
      </c>
      <c r="L97" s="356">
        <f>+L94+L95+L96</f>
        <v>6927.0000000004657</v>
      </c>
      <c r="M97" s="252">
        <f>J97-D97</f>
        <v>15</v>
      </c>
      <c r="N97" s="251">
        <f>L97-F97</f>
        <v>6927.0000000004657</v>
      </c>
      <c r="O97" s="250">
        <f>+O94+O95+O96</f>
        <v>0</v>
      </c>
      <c r="P97" s="305">
        <f>IF(O97&lt;=0,0,Q97/O97)</f>
        <v>0</v>
      </c>
      <c r="Q97" s="356">
        <f>+Q94+Q95+Q96</f>
        <v>0</v>
      </c>
      <c r="R97" s="252">
        <f>R94+R95</f>
        <v>15</v>
      </c>
      <c r="S97" s="356">
        <f>S94+S95</f>
        <v>6927.0000000004657</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29</v>
      </c>
      <c r="K101" s="281">
        <f>IF(J101=0,0,L101/J101)</f>
        <v>-30.503103448270725</v>
      </c>
      <c r="L101" s="266">
        <f>-SUMIFS(BV_Data_An_Cour!$AM:$AM,BV_Data_An_Cour!$AP:$AP,$B101,BV_Data_An_Cour!$AQ:$AQ,$C101,BV_Data_An_Cour!$AR:$AR,L$2)</f>
        <v>-884.58999999985099</v>
      </c>
      <c r="M101" s="245">
        <f>J101-D101</f>
        <v>29</v>
      </c>
      <c r="N101" s="246">
        <f>L101-F101</f>
        <v>-884.58999999985099</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29</v>
      </c>
      <c r="S101" s="266">
        <f>L101-Q101</f>
        <v>-884.58999999985099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145.47400000000005</v>
      </c>
      <c r="L103" s="266">
        <f>-SUMIFS(BV_Data_An_Cour!$AM:$AM,BV_Data_An_Cour!$AP:$AP,$B103,BV_Data_An_Cour!$AQ:$AQ,$C103,BV_Data_An_Cour!$AR:$AR,$L2)</f>
        <v>2182.1100000000006</v>
      </c>
      <c r="M103" s="245"/>
      <c r="N103" s="246">
        <f>L103-F103</f>
        <v>2182.1100000000006</v>
      </c>
      <c r="O103" s="245"/>
      <c r="P103" s="281">
        <f>IF(O97=0,0,Q103/O97)</f>
        <v>0</v>
      </c>
      <c r="Q103" s="266">
        <f>-SUMIFS(BV_Data_An_Prec!$AM:$AM,BV_Data_An_Prec!$AP:$AP,$B103,BV_Data_An_Prec!$AQ:$AQ,$C103,BV_Data_An_Prec!$AR:$AR,$L2)</f>
        <v>0</v>
      </c>
      <c r="R103" s="267">
        <f>P103-K103</f>
        <v>-145.47400000000005</v>
      </c>
      <c r="S103" s="266">
        <f t="shared" ref="S103:S105" si="29">L103-Q103</f>
        <v>2182.1100000000006</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845.31399999999974</v>
      </c>
      <c r="L104" s="266">
        <f>-SUMIFS(BV_Data_An_Cour!$AM:$AM,BV_Data_An_Cour!$AP:$AP,$B104,BV_Data_An_Cour!$AQ:$AQ,$C104,BV_Data_An_Cour!$AR:$AR,$L2)</f>
        <v>12679.709999999995</v>
      </c>
      <c r="M104" s="245"/>
      <c r="N104" s="246">
        <f>L104-F104</f>
        <v>12679.709999999995</v>
      </c>
      <c r="O104" s="245"/>
      <c r="P104" s="281">
        <f>IF(O97=0,0,Q104/O97)</f>
        <v>0</v>
      </c>
      <c r="Q104" s="266">
        <f>-SUMIFS(BV_Data_An_Prec!$AM:$AM,BV_Data_An_Prec!$AP:$AP,$B104,BV_Data_An_Prec!$AQ:$AQ,$C104,BV_Data_An_Prec!$AR:$AR,$L2)</f>
        <v>0</v>
      </c>
      <c r="R104" s="267">
        <f t="shared" ref="R104:R106" si="30">P104-K104</f>
        <v>-845.31399999999974</v>
      </c>
      <c r="S104" s="266">
        <f t="shared" si="29"/>
        <v>12679.709999999995</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15</v>
      </c>
      <c r="K106" s="355">
        <f>IF(J106&lt;=0,0,L106/J106)</f>
        <v>990.78799999999978</v>
      </c>
      <c r="L106" s="356">
        <f>L103+L104+L105</f>
        <v>14861.819999999996</v>
      </c>
      <c r="M106" s="265">
        <f>J106-D106</f>
        <v>15</v>
      </c>
      <c r="N106" s="251">
        <f>L106-F106</f>
        <v>14861.819999999996</v>
      </c>
      <c r="O106" s="252">
        <f>O97</f>
        <v>0</v>
      </c>
      <c r="P106" s="355">
        <f>IF(O106&lt;=0,0,Q106/O106)</f>
        <v>0</v>
      </c>
      <c r="Q106" s="356">
        <f>Q103+Q104+Q105</f>
        <v>0</v>
      </c>
      <c r="R106" s="357">
        <f t="shared" si="30"/>
        <v>-990.78799999999978</v>
      </c>
      <c r="S106" s="356">
        <f>L106-Q106</f>
        <v>14861.819999999996</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44</v>
      </c>
      <c r="K109" s="269">
        <f>IF(J109&lt;=0,0,L109/J109)</f>
        <v>475.09613636365026</v>
      </c>
      <c r="L109" s="271">
        <f>L97+L106+L101+L99</f>
        <v>20904.230000000611</v>
      </c>
      <c r="M109" s="272">
        <f>J109-D109</f>
        <v>44</v>
      </c>
      <c r="N109" s="271">
        <f>L109-F109</f>
        <v>20904.230000000611</v>
      </c>
      <c r="O109" s="272">
        <f>O97+O101</f>
        <v>0</v>
      </c>
      <c r="P109" s="269">
        <f>IF(O109&lt;=0,0,Q109/O109)</f>
        <v>0</v>
      </c>
      <c r="Q109" s="271">
        <f>Q97+Q106+Q101+Q99</f>
        <v>0</v>
      </c>
      <c r="R109" s="272">
        <f>J109-O109</f>
        <v>44</v>
      </c>
      <c r="S109" s="271">
        <f>L109-Q109</f>
        <v>20904.230000000611</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1.2438703623501404</v>
      </c>
      <c r="K113" s="281">
        <f>IF($J$97=0,0,L113/(J$94+J$95+J96))</f>
        <v>574.41933333333338</v>
      </c>
      <c r="L113" s="266">
        <f>SUMIFS(BV_Data_An_Cour!$AM:$AM,BV_Data_An_Cour!$AP:$AP,$B113,BV_Data_An_Cour!$AQ:$AQ,$C113,BV_Data_An_Cour!$AR:$AR,$L$2)</f>
        <v>8616.2900000000009</v>
      </c>
      <c r="M113" s="243"/>
      <c r="N113" s="266">
        <f t="shared" ref="N113:N154" si="32">L113-F113</f>
        <v>8616.2900000000009</v>
      </c>
      <c r="O113" s="282" t="e">
        <f>Q113/Q97</f>
        <v>#DIV/0!</v>
      </c>
      <c r="P113" s="281" t="e">
        <f>IF($J$97=0,0,Q113/(O$94+O$95+O96))</f>
        <v>#DIV/0!</v>
      </c>
      <c r="Q113" s="266">
        <f>SUMIFS(BV_Data_An_Prec!$AM:$AM,BV_Data_An_Prec!$AP:$AP,$B113,BV_Data_An_Prec!$AQ:$AQ,$C113,BV_Data_An_Prec!$AR:$AR,$L$2)</f>
        <v>0</v>
      </c>
      <c r="R113" s="243"/>
      <c r="S113" s="266">
        <f>L113-Q113</f>
        <v>8616.2900000000009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0.45994164913853069</v>
      </c>
      <c r="K114" s="284">
        <f>IF($J$97=0,0,L114/(J$94+J$95+J96))</f>
        <v>455.70466666666641</v>
      </c>
      <c r="L114" s="266">
        <f>SUMIFS(BV_Data_An_Cour!$AM:$AM,BV_Data_An_Cour!$AP:$AP,$B114,BV_Data_An_Cour!$AQ:$AQ,$C114,BV_Data_An_Cour!$AR:$AR,$L$2)</f>
        <v>6835.5699999999961</v>
      </c>
      <c r="M114" s="238"/>
      <c r="N114" s="286">
        <f t="shared" si="32"/>
        <v>6835.5699999999961</v>
      </c>
      <c r="O114" s="285" t="e">
        <f>Q114/(Q106)</f>
        <v>#DIV/0!</v>
      </c>
      <c r="P114" s="284" t="e">
        <f>IF($J$97=0,0,Q114/(O$94+O$95+O96))</f>
        <v>#DIV/0!</v>
      </c>
      <c r="Q114" s="266">
        <f>SUMIFS(BV_Data_An_Prec!$AM:$AM,BV_Data_An_Prec!$AP:$AP,$B114,BV_Data_An_Prec!$AQ:$AQ,$C114,BV_Data_An_Prec!$AR:$AR,$L$2)</f>
        <v>0</v>
      </c>
      <c r="R114" s="238"/>
      <c r="S114" s="286">
        <f t="shared" ref="S114:S166" si="33">L114-Q114</f>
        <v>6835.5699999999961</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449.50066666666658</v>
      </c>
      <c r="L115" s="303">
        <f>SUMIFS(BV_Data_An_Cour!$AM:$AM,BV_Data_An_Cour!$AP:$AP,$B115,BV_Data_An_Cour!$AQ:$AQ,$C115,BV_Data_An_Cour!$AR:$AR,$L$2)</f>
        <v>6742.5099999999984</v>
      </c>
      <c r="M115" s="243"/>
      <c r="N115" s="266">
        <f t="shared" si="32"/>
        <v>6742.5099999999984</v>
      </c>
      <c r="O115" s="243"/>
      <c r="P115" s="281" t="e">
        <f>IF($J$97=0,0,Q115/(O$94+O$95+O96))</f>
        <v>#DIV/0!</v>
      </c>
      <c r="Q115" s="303">
        <f>SUMIFS(BV_Data_An_Prec!$AM:$AM,BV_Data_An_Prec!$AP:$AP,$B115,BV_Data_An_Prec!$AQ:$AQ,$C115,BV_Data_An_Prec!$AR:$AR,$L$2)</f>
        <v>0</v>
      </c>
      <c r="R115" s="243"/>
      <c r="S115" s="266">
        <f t="shared" si="33"/>
        <v>6742.5099999999984</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142.81733333333332</v>
      </c>
      <c r="L116" s="266">
        <f>SUMIFS(BV_Data_An_Cour!$AM:$AM,BV_Data_An_Cour!$AP:$AP,$B116,BV_Data_An_Cour!$AQ:$AQ,$C116,BV_Data_An_Cour!$AR:$AR,$L$2)</f>
        <v>2142.2599999999998</v>
      </c>
      <c r="M116" s="243"/>
      <c r="N116" s="266">
        <f t="shared" si="32"/>
        <v>2142.2599999999998</v>
      </c>
      <c r="O116" s="243"/>
      <c r="P116" s="281" t="e">
        <f>IF($J$97=0,0,Q116/(O$94+O$95+O96))</f>
        <v>#DIV/0!</v>
      </c>
      <c r="Q116" s="266">
        <f>SUMIFS(BV_Data_An_Prec!$AM:$AM,BV_Data_An_Prec!$AP:$AP,$B116,BV_Data_An_Prec!$AQ:$AQ,$C116,BV_Data_An_Prec!$AR:$AR,$L$2)</f>
        <v>0</v>
      </c>
      <c r="R116" s="243"/>
      <c r="S116" s="266">
        <f t="shared" si="33"/>
        <v>2142.2599999999998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911.30133333333345</v>
      </c>
      <c r="L118" s="266">
        <f>SUMIFS(BV_Data_An_Cour!$AM:$AM,BV_Data_An_Cour!$AP:$AP,$B118,BV_Data_An_Cour!$AQ:$AQ,$C118,BV_Data_An_Cour!$AR:$AR,$L$2)</f>
        <v>13669.520000000002</v>
      </c>
      <c r="M118" s="243"/>
      <c r="N118" s="266">
        <f t="shared" si="32"/>
        <v>13669.520000000002</v>
      </c>
      <c r="O118" s="243"/>
      <c r="P118" s="281" t="e">
        <f>IF($J$97=0,0,Q118/(O$94+O$95+O96))</f>
        <v>#DIV/0!</v>
      </c>
      <c r="Q118" s="266">
        <f>SUMIFS(BV_Data_An_Prec!$AM:$AM,BV_Data_An_Prec!$AP:$AP,$B118,BV_Data_An_Prec!$AQ:$AQ,$C118,BV_Data_An_Prec!$AR:$AR,$L$2)</f>
        <v>0</v>
      </c>
      <c r="R118" s="243"/>
      <c r="S118" s="266">
        <f t="shared" si="33"/>
        <v>13669.520000000002</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2425.5260000000007</v>
      </c>
      <c r="L119" s="658">
        <f>SUMIFS(BV_Data_An_Cour!$AM:$AM,BV_Data_An_Cour!$AP:$AP,$B119,BV_Data_An_Cour!$AQ:$AQ,$C119,BV_Data_An_Cour!$AR:$AR,$L$2)</f>
        <v>36382.890000000014</v>
      </c>
      <c r="M119" s="243"/>
      <c r="N119" s="658">
        <f t="shared" si="32"/>
        <v>36382.890000000014</v>
      </c>
      <c r="O119" s="243"/>
      <c r="P119" s="281" t="e">
        <f>IF($J$97=0,0,Q119/(O$94+O$95+O96))</f>
        <v>#DIV/0!</v>
      </c>
      <c r="Q119" s="658">
        <f>SUMIFS(BV_Data_An_Prec!$AM:$AM,BV_Data_An_Prec!$AP:$AP,$B119,BV_Data_An_Prec!$AQ:$AQ,$C119,BV_Data_An_Prec!$AR:$AR,$L$2)</f>
        <v>0</v>
      </c>
      <c r="R119" s="243"/>
      <c r="S119" s="266">
        <f t="shared" si="33"/>
        <v>36382.890000000014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3128</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3129</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3.558563984418361</v>
      </c>
      <c r="L123" s="294">
        <f>SUM(L113:L122)</f>
        <v>74389.040000000008</v>
      </c>
      <c r="M123" s="296"/>
      <c r="N123" s="294">
        <f t="shared" si="32"/>
        <v>74389.040000000008</v>
      </c>
      <c r="O123" s="295" t="s">
        <v>115</v>
      </c>
      <c r="P123" s="293" t="e">
        <f>Q123/Q$109</f>
        <v>#DIV/0!</v>
      </c>
      <c r="Q123" s="294">
        <f>SUM(Q113:Q122)</f>
        <v>0</v>
      </c>
      <c r="R123" s="297"/>
      <c r="S123" s="294">
        <f t="shared" si="33"/>
        <v>74389.040000000008</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7193.6700000000128</v>
      </c>
      <c r="M124" s="243"/>
      <c r="N124" s="266">
        <f t="shared" si="32"/>
        <v>7193.6700000000128</v>
      </c>
      <c r="O124" s="243"/>
      <c r="P124" s="38"/>
      <c r="Q124" s="266">
        <f>SUMIFS(BV_Data_An_Prec!$AM:$AM,BV_Data_An_Prec!$AP:$AP,$B124,BV_Data_An_Prec!$AQ:$AQ,$C124,BV_Data_An_Prec!$AR:$AR,$L$2)</f>
        <v>0</v>
      </c>
      <c r="R124" s="243"/>
      <c r="S124" s="266">
        <f t="shared" si="33"/>
        <v>7193.6700000000128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4262.679999999993</v>
      </c>
      <c r="M125" s="243"/>
      <c r="N125" s="266">
        <f t="shared" si="32"/>
        <v>4262.679999999993</v>
      </c>
      <c r="O125" s="243"/>
      <c r="P125" s="38"/>
      <c r="Q125" s="266">
        <f>SUMIFS(BV_Data_An_Prec!$AM:$AM,BV_Data_An_Prec!$AP:$AP,$B125,BV_Data_An_Prec!$AQ:$AQ,$C125,BV_Data_An_Prec!$AR:$AR,$L$2)</f>
        <v>0</v>
      </c>
      <c r="R125" s="243"/>
      <c r="S125" s="266">
        <f t="shared" si="33"/>
        <v>4262.679999999993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49241.66</v>
      </c>
      <c r="M126" s="233"/>
      <c r="N126" s="303">
        <f t="shared" si="32"/>
        <v>49241.66</v>
      </c>
      <c r="O126" s="233"/>
      <c r="P126" s="301"/>
      <c r="Q126" s="303">
        <f>SUMIFS(BV_Data_An_Prec!$AM:$AM,BV_Data_An_Prec!$AP:$AP,$B126,BV_Data_An_Prec!$AQ:$AQ,$C126,BV_Data_An_Prec!$AR:$AR,$L$2)</f>
        <v>0</v>
      </c>
      <c r="R126" s="233"/>
      <c r="S126" s="303">
        <f t="shared" si="33"/>
        <v>49241.66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-7972.1700000000019</v>
      </c>
      <c r="M131" s="243"/>
      <c r="N131" s="266">
        <f t="shared" si="32"/>
        <v>-7972.1700000000019</v>
      </c>
      <c r="O131" s="243"/>
      <c r="P131" s="38"/>
      <c r="Q131" s="266">
        <f>SUMIFS(BV_Data_An_Prec!$AM:$AM,BV_Data_An_Prec!$AP:$AP,$B131,BV_Data_An_Prec!$AQ:$AQ,$C131,BV_Data_An_Prec!$AR:$AR,$L$2)</f>
        <v>0</v>
      </c>
      <c r="R131" s="243"/>
      <c r="S131" s="266">
        <f t="shared" si="33"/>
        <v>-7972.1700000000019</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3117.3499999999985</v>
      </c>
      <c r="M132" s="233"/>
      <c r="N132" s="303">
        <f t="shared" si="32"/>
        <v>3117.3499999999985</v>
      </c>
      <c r="O132" s="233"/>
      <c r="P132" s="301"/>
      <c r="Q132" s="303">
        <f>SUMIFS(BV_Data_An_Prec!$AM:$AM,BV_Data_An_Prec!$AP:$AP,$B132,BV_Data_An_Prec!$AQ:$AQ,$C132,BV_Data_An_Prec!$AR:$AR,$L$2)</f>
        <v>0</v>
      </c>
      <c r="R132" s="233"/>
      <c r="S132" s="303">
        <f t="shared" si="33"/>
        <v>3117.3499999999985</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16693.359999999997</v>
      </c>
      <c r="M133" s="243"/>
      <c r="N133" s="266">
        <f t="shared" si="32"/>
        <v>16693.359999999997</v>
      </c>
      <c r="O133" s="243"/>
      <c r="P133" s="38"/>
      <c r="Q133" s="266">
        <f>SUMIFS(BV_Data_An_Prec!$AM:$AM,BV_Data_An_Prec!$AP:$AP,$B133,BV_Data_An_Prec!$AQ:$AQ,$C133,BV_Data_An_Prec!$AR:$AR,$L$2)</f>
        <v>0</v>
      </c>
      <c r="R133" s="243"/>
      <c r="S133" s="266">
        <f t="shared" si="33"/>
        <v>16693.359999999997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-4994.76</v>
      </c>
      <c r="M134" s="243"/>
      <c r="N134" s="266">
        <f t="shared" si="32"/>
        <v>-4994.76</v>
      </c>
      <c r="O134" s="243"/>
      <c r="P134" s="38"/>
      <c r="Q134" s="266">
        <f>SUMIFS(BV_Data_An_Prec!$AM:$AM,BV_Data_An_Prec!$AP:$AP,$B134,BV_Data_An_Prec!$AQ:$AQ,$C134,BV_Data_An_Prec!$AR:$AR,$L$2)</f>
        <v>0</v>
      </c>
      <c r="R134" s="243"/>
      <c r="S134" s="266">
        <f t="shared" si="33"/>
        <v>-4994.76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3.2310106614784679</v>
      </c>
      <c r="L136" s="294">
        <f>SUM(L124:L135)</f>
        <v>67541.790000000008</v>
      </c>
      <c r="M136" s="296"/>
      <c r="N136" s="294">
        <f t="shared" si="32"/>
        <v>67541.790000000008</v>
      </c>
      <c r="O136" s="295" t="s">
        <v>115</v>
      </c>
      <c r="P136" s="293" t="e">
        <f>Q136/Q$109</f>
        <v>#DIV/0!</v>
      </c>
      <c r="Q136" s="294">
        <f>SUM(Q124:Q135)</f>
        <v>0</v>
      </c>
      <c r="R136" s="297"/>
      <c r="S136" s="294">
        <f t="shared" si="33"/>
        <v>67541.790000000008</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6429.5099999999948</v>
      </c>
      <c r="M139" s="238"/>
      <c r="N139" s="286">
        <f t="shared" si="32"/>
        <v>6429.5099999999948</v>
      </c>
      <c r="O139" s="238"/>
      <c r="P139" s="304"/>
      <c r="Q139" s="286">
        <f>SUMIFS(BV_Data_An_Prec!$AM:$AM,BV_Data_An_Prec!$AP:$AP,$B139,BV_Data_An_Prec!$AQ:$AQ,$C139,BV_Data_An_Prec!$AR:$AR,$L$2)</f>
        <v>0</v>
      </c>
      <c r="R139" s="238"/>
      <c r="S139" s="286">
        <f t="shared" si="33"/>
        <v>6429.5099999999948</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2094.6800000000003</v>
      </c>
      <c r="M140" s="243"/>
      <c r="N140" s="266">
        <f t="shared" si="32"/>
        <v>2094.6800000000003</v>
      </c>
      <c r="O140" s="243"/>
      <c r="P140" s="38"/>
      <c r="Q140" s="266">
        <f>SUMIFS(BV_Data_An_Prec!$AM:$AM,BV_Data_An_Prec!$AP:$AP,$B140,BV_Data_An_Prec!$AQ:$AQ,$C140,BV_Data_An_Prec!$AR:$AR,$L$2)</f>
        <v>0</v>
      </c>
      <c r="R140" s="243"/>
      <c r="S140" s="266">
        <f t="shared" si="33"/>
        <v>2094.6800000000003</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-2970.9900000000016</v>
      </c>
      <c r="M141" s="243"/>
      <c r="N141" s="266">
        <f t="shared" si="32"/>
        <v>-2970.9900000000016</v>
      </c>
      <c r="O141" s="243"/>
      <c r="P141" s="38"/>
      <c r="Q141" s="266">
        <f>SUMIFS(BV_Data_An_Prec!$AM:$AM,BV_Data_An_Prec!$AP:$AP,$B141,BV_Data_An_Prec!$AQ:$AQ,$C141,BV_Data_An_Prec!$AR:$AR,$L$2)</f>
        <v>0</v>
      </c>
      <c r="R141" s="243"/>
      <c r="S141" s="266">
        <f t="shared" si="33"/>
        <v>-2970.9900000000016</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3505.3100000000013</v>
      </c>
      <c r="M142" s="238"/>
      <c r="N142" s="286">
        <f t="shared" si="32"/>
        <v>3505.3100000000013</v>
      </c>
      <c r="O142" s="238"/>
      <c r="P142" s="304"/>
      <c r="Q142" s="286">
        <f>SUMIFS(BV_Data_An_Prec!$AM:$AM,BV_Data_An_Prec!$AP:$AP,$B142,BV_Data_An_Prec!$AQ:$AQ,$C142,BV_Data_An_Prec!$AR:$AR,$L$2)</f>
        <v>0</v>
      </c>
      <c r="R142" s="238"/>
      <c r="S142" s="286">
        <f t="shared" si="33"/>
        <v>3505.3100000000013</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21.119999999999891</v>
      </c>
      <c r="M143" s="243"/>
      <c r="N143" s="266">
        <f t="shared" si="32"/>
        <v>21.119999999999891</v>
      </c>
      <c r="O143" s="243"/>
      <c r="P143" s="38"/>
      <c r="Q143" s="266">
        <f>SUMIFS(BV_Data_An_Prec!$AM:$AM,BV_Data_An_Prec!$AP:$AP,$B143,BV_Data_An_Prec!$AQ:$AQ,$C143,BV_Data_An_Prec!$AR:$AR,$L$2)</f>
        <v>0</v>
      </c>
      <c r="R143" s="243"/>
      <c r="S143" s="266">
        <f t="shared" si="33"/>
        <v>21.119999999999891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709.17999999999938</v>
      </c>
      <c r="M145" s="243"/>
      <c r="N145" s="266">
        <f t="shared" si="32"/>
        <v>709.17999999999938</v>
      </c>
      <c r="O145" s="243"/>
      <c r="P145" s="38"/>
      <c r="Q145" s="266">
        <f>SUMIFS(BV_Data_An_Prec!$AM:$AM,BV_Data_An_Prec!$AP:$AP,$B145,BV_Data_An_Prec!$AQ:$AQ,$C145,BV_Data_An_Prec!$AR:$AR,$L$2)</f>
        <v>0</v>
      </c>
      <c r="R145" s="243"/>
      <c r="S145" s="266">
        <f t="shared" si="33"/>
        <v>709.17999999999938</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208.21999999999935</v>
      </c>
      <c r="M146" s="243"/>
      <c r="N146" s="266">
        <f t="shared" si="32"/>
        <v>208.21999999999935</v>
      </c>
      <c r="O146" s="243"/>
      <c r="P146" s="38"/>
      <c r="Q146" s="266">
        <f>SUMIFS(BV_Data_An_Prec!$AM:$AM,BV_Data_An_Prec!$AP:$AP,$B146,BV_Data_An_Prec!$AQ:$AQ,$C146,BV_Data_An_Prec!$AR:$AR,$L$2)</f>
        <v>0</v>
      </c>
      <c r="R146" s="243"/>
      <c r="S146" s="266">
        <f t="shared" si="33"/>
        <v>208.21999999999935</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624.69000000000051</v>
      </c>
      <c r="M147" s="243"/>
      <c r="N147" s="266">
        <f t="shared" si="32"/>
        <v>624.69000000000051</v>
      </c>
      <c r="O147" s="243"/>
      <c r="P147" s="38"/>
      <c r="Q147" s="266">
        <f>SUMIFS(BV_Data_An_Prec!$AM:$AM,BV_Data_An_Prec!$AP:$AP,$B147,BV_Data_An_Prec!$AQ:$AQ,$C147,BV_Data_An_Prec!$AR:$AR,$L$2)</f>
        <v>0</v>
      </c>
      <c r="R147" s="243"/>
      <c r="S147" s="266">
        <f t="shared" si="33"/>
        <v>624.69000000000051</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3445.3999999999978</v>
      </c>
      <c r="M148" s="243"/>
      <c r="N148" s="266">
        <f t="shared" si="32"/>
        <v>3445.3999999999978</v>
      </c>
      <c r="O148" s="243"/>
      <c r="P148" s="38"/>
      <c r="Q148" s="266">
        <f>SUMIFS(BV_Data_An_Prec!$AM:$AM,BV_Data_An_Prec!$AP:$AP,$B148,BV_Data_An_Prec!$AQ:$AQ,$C148,BV_Data_An_Prec!$AR:$AR,$L$2)</f>
        <v>0</v>
      </c>
      <c r="R148" s="243"/>
      <c r="S148" s="266">
        <f t="shared" si="33"/>
        <v>3445.3999999999978</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1107.7999999999993</v>
      </c>
      <c r="M150" s="243"/>
      <c r="N150" s="658">
        <f t="shared" si="32"/>
        <v>1107.7999999999993</v>
      </c>
      <c r="O150" s="243"/>
      <c r="P150" s="38"/>
      <c r="Q150" s="658">
        <f>SUMIFS(BV_Data_An_Prec!$AM:$AM,BV_Data_An_Prec!$AP:$AP,$B150,BV_Data_An_Prec!$AQ:$AQ,$C150,BV_Data_An_Prec!$AR:$AR,$L$2)</f>
        <v>0</v>
      </c>
      <c r="R150" s="243"/>
      <c r="S150" s="266">
        <f t="shared" si="33"/>
        <v>1107.7999999999993</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0.72592580544700991</v>
      </c>
      <c r="L154" s="294">
        <f>+SUM(L137:L153)</f>
        <v>15174.919999999991</v>
      </c>
      <c r="M154" s="296"/>
      <c r="N154" s="294">
        <f t="shared" si="32"/>
        <v>15174.919999999991</v>
      </c>
      <c r="O154" s="295" t="s">
        <v>115</v>
      </c>
      <c r="P154" s="293" t="e">
        <f>Q154/Q$109</f>
        <v>#DIV/0!</v>
      </c>
      <c r="Q154" s="294">
        <f>+SUM(Q137:Q153)</f>
        <v>0</v>
      </c>
      <c r="R154" s="297"/>
      <c r="S154" s="294">
        <f t="shared" si="33"/>
        <v>15174.919999999991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7.5155004513438382</v>
      </c>
      <c r="L156" s="294">
        <f>L123+L136+L154</f>
        <v>157105.75</v>
      </c>
      <c r="M156" s="296"/>
      <c r="N156" s="294">
        <f t="shared" ref="N156:N163" si="34">L156-F156</f>
        <v>157105.75</v>
      </c>
      <c r="O156" s="295" t="s">
        <v>115</v>
      </c>
      <c r="P156" s="293" t="e">
        <f>Q156/Q$109</f>
        <v>#DIV/0!</v>
      </c>
      <c r="Q156" s="294">
        <f>Q123+Q136+Q154</f>
        <v>0</v>
      </c>
      <c r="R156" s="297"/>
      <c r="S156" s="294">
        <f t="shared" si="33"/>
        <v>157105.75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-136201.51999999938</v>
      </c>
      <c r="M166" s="960"/>
      <c r="N166" s="958">
        <f>L166-F166</f>
        <v>-136201.51999999938</v>
      </c>
      <c r="O166" s="959"/>
      <c r="P166" s="957"/>
      <c r="Q166" s="958">
        <f>Q109-Q156+Q164</f>
        <v>0</v>
      </c>
      <c r="R166" s="961"/>
      <c r="S166" s="958">
        <f t="shared" si="33"/>
        <v>-136201.51999999938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1163</v>
      </c>
      <c r="L169" s="911"/>
      <c r="M169" s="911"/>
      <c r="N169" s="915"/>
      <c r="O169" s="653"/>
      <c r="P169" s="654"/>
      <c r="Q169" s="653"/>
      <c r="R169" s="654"/>
      <c r="S169" s="655" t="str">
        <f>$S$1</f>
        <v>Réalisé, Décembre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7" t="s">
        <v>339</v>
      </c>
      <c r="E171" s="1067"/>
      <c r="F171" s="1068"/>
      <c r="G171" s="1066"/>
      <c r="H171" s="1067"/>
      <c r="I171" s="1068"/>
      <c r="J171" s="1066" t="s">
        <v>340</v>
      </c>
      <c r="K171" s="1067"/>
      <c r="L171" s="1068"/>
      <c r="M171" s="1066" t="s">
        <v>668</v>
      </c>
      <c r="N171" s="1068"/>
      <c r="O171" s="1066" t="s">
        <v>341</v>
      </c>
      <c r="P171" s="1067"/>
      <c r="Q171" s="1068"/>
      <c r="R171" s="1066" t="s">
        <v>670</v>
      </c>
      <c r="S171" s="1068"/>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1162</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8886986.049999997</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1162</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1162</v>
      </c>
      <c r="C175" s="243" t="s">
        <v>1164</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20</v>
      </c>
      <c r="K175" s="281">
        <f t="shared" ref="K175:K179" si="35">IF(J175=0,0,L175/J175)</f>
        <v>3741.8559999999707</v>
      </c>
      <c r="L175" s="266">
        <f>-SUMIFS(BV_Data_An_Cour!$AM:$AM,BV_Data_An_Cour!$AP:$AP,$B175,BV_Data_An_Cour!$AQ:$AQ,$C175,BV_Data_An_Cour!$AR:$AR,$L2)</f>
        <v>74837.119999999413</v>
      </c>
      <c r="M175" s="245">
        <f>J175-D175</f>
        <v>20</v>
      </c>
      <c r="N175" s="246">
        <f>L175-F175</f>
        <v>74837.119999999413</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20</v>
      </c>
      <c r="S175" s="266">
        <f t="shared" ref="S175:S177" si="38">L175-Q175</f>
        <v>74837.119999999413</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1162</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1162</v>
      </c>
      <c r="C177" s="243" t="s">
        <v>1165</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1162</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1162</v>
      </c>
      <c r="C179" s="243" t="s">
        <v>1166</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66</v>
      </c>
      <c r="K179" s="281">
        <f t="shared" si="35"/>
        <v>2787.007575757576</v>
      </c>
      <c r="L179" s="266">
        <f>-SUMIFS(BV_Data_An_Cour!$AM:$AM,BV_Data_An_Cour!$AP:$AP,$B179,BV_Data_An_Cour!$AQ:$AQ,$C179,BV_Data_An_Cour!$AR:$AR,$L2)</f>
        <v>183942.5</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66</v>
      </c>
      <c r="S179" s="266">
        <f>L179-Q179</f>
        <v>183942.5</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1162</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1162</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1162</v>
      </c>
      <c r="C182" s="268" t="s">
        <v>3137</v>
      </c>
      <c r="D182" s="269" t="e">
        <f>D175+D177+D179</f>
        <v>#N/A</v>
      </c>
      <c r="E182" s="270" t="e">
        <f>IF(D182&lt;=0,0,F182/D182)</f>
        <v>#N/A</v>
      </c>
      <c r="F182" s="271" t="e">
        <f>#REF!+#REF!+#REF!</f>
        <v>#REF!</v>
      </c>
      <c r="G182" s="272"/>
      <c r="H182" s="270"/>
      <c r="I182" s="271"/>
      <c r="J182" s="272">
        <f>J175+J177+J179</f>
        <v>86</v>
      </c>
      <c r="K182" s="269">
        <f>IF(J182&lt;=0,0,L182/J182)</f>
        <v>3009.0653488372027</v>
      </c>
      <c r="L182" s="271">
        <f>L175+L179+L177</f>
        <v>258779.61999999941</v>
      </c>
      <c r="M182" s="272" t="e">
        <f>J182-D182</f>
        <v>#N/A</v>
      </c>
      <c r="N182" s="271" t="e">
        <f>L182-F182</f>
        <v>#REF!</v>
      </c>
      <c r="O182" s="272">
        <f>O175+O177+O179</f>
        <v>0</v>
      </c>
      <c r="P182" s="269">
        <f>IF(O182&lt;=0,0,Q182/O182)</f>
        <v>0</v>
      </c>
      <c r="Q182" s="271">
        <f>Q175+Q179+Q177</f>
        <v>0</v>
      </c>
      <c r="R182" s="272">
        <f>J182-O182</f>
        <v>86</v>
      </c>
      <c r="S182" s="271">
        <f>L182-Q182</f>
        <v>258779.61999999941</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1162</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1162</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1162</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1162</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1162</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1162</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107.15435643564358</v>
      </c>
      <c r="L188" s="303">
        <f>SUMIFS(BV_Data_An_Cour!$AM:$AM,BV_Data_An_Cour!$AP:$AP,$B188,BV_Data_An_Cour!$AQ:$AQ,$C188,BV_Data_An_Cour!$AR:$AR,$L$2)</f>
        <v>10822.590000000002</v>
      </c>
      <c r="M188" s="243"/>
      <c r="N188" s="266">
        <f t="shared" si="40"/>
        <v>10822.590000000002</v>
      </c>
      <c r="O188" s="243"/>
      <c r="P188" s="281" t="e">
        <f>IF($J$97=0,0,Q188/(O$94+O$95+O182))</f>
        <v>#DIV/0!</v>
      </c>
      <c r="Q188" s="303">
        <f>SUMIFS(BV_Data_An_Prec!$AM:$AM,BV_Data_An_Prec!$AP:$AP,$B188,BV_Data_An_Prec!$AQ:$AQ,$C188,BV_Data_An_Prec!$AR:$AR,$L$2)</f>
        <v>0</v>
      </c>
      <c r="R188" s="243"/>
      <c r="S188" s="266">
        <f t="shared" si="41"/>
        <v>10822.590000000002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1162</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1162</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1162</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1162</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130.26693069306921</v>
      </c>
      <c r="L192" s="658">
        <f>SUMIFS(BV_Data_An_Cour!$AM:$AM,BV_Data_An_Cour!$AP:$AP,$B192,BV_Data_An_Cour!$AQ:$AQ,$C192,BV_Data_An_Cour!$AR:$AR,$L$2)</f>
        <v>13156.959999999992</v>
      </c>
      <c r="M192" s="243"/>
      <c r="N192" s="658">
        <f t="shared" si="40"/>
        <v>13156.959999999992</v>
      </c>
      <c r="O192" s="243"/>
      <c r="P192" s="281" t="e">
        <f>IF($J$97=0,0,Q192/(O$94+O$95+O182))</f>
        <v>#DIV/0!</v>
      </c>
      <c r="Q192" s="658">
        <f>SUMIFS(BV_Data_An_Prec!$AM:$AM,BV_Data_An_Prec!$AP:$AP,$B192,BV_Data_An_Prec!$AQ:$AQ,$C192,BV_Data_An_Prec!$AR:$AR,$L$2)</f>
        <v>0</v>
      </c>
      <c r="R192" s="243"/>
      <c r="S192" s="266">
        <f t="shared" si="41"/>
        <v>13156.959999999992</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1162</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1162</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1162</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1162</v>
      </c>
      <c r="C196" s="291" t="s">
        <v>114</v>
      </c>
      <c r="D196" s="292" t="s">
        <v>115</v>
      </c>
      <c r="E196" s="293" t="e">
        <f>F196/F$109</f>
        <v>#DIV/0!</v>
      </c>
      <c r="F196" s="294">
        <f>SUM(F186:F195)</f>
        <v>0</v>
      </c>
      <c r="G196" s="295"/>
      <c r="H196" s="293"/>
      <c r="I196" s="294"/>
      <c r="J196" s="295" t="s">
        <v>115</v>
      </c>
      <c r="K196" s="293">
        <f>L196/L$109</f>
        <v>1.1471147227139815</v>
      </c>
      <c r="L196" s="294">
        <f>SUM(L186:L195)</f>
        <v>23979.549999999996</v>
      </c>
      <c r="M196" s="296"/>
      <c r="N196" s="294">
        <f t="shared" si="40"/>
        <v>23979.549999999996</v>
      </c>
      <c r="O196" s="295" t="s">
        <v>115</v>
      </c>
      <c r="P196" s="293" t="e">
        <f>Q196/Q$109</f>
        <v>#DIV/0!</v>
      </c>
      <c r="Q196" s="294">
        <f>SUM(Q186:Q195)</f>
        <v>0</v>
      </c>
      <c r="R196" s="297"/>
      <c r="S196" s="294">
        <f t="shared" si="41"/>
        <v>23979.549999999996</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1162</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0</v>
      </c>
      <c r="M197" s="243"/>
      <c r="N197" s="266">
        <f t="shared" si="40"/>
        <v>0</v>
      </c>
      <c r="O197" s="243"/>
      <c r="P197" s="38"/>
      <c r="Q197" s="266">
        <f>SUMIFS(BV_Data_An_Prec!$AM:$AM,BV_Data_An_Prec!$AP:$AP,$B197,BV_Data_An_Prec!$AQ:$AQ,$C197,BV_Data_An_Prec!$AR:$AR,$L$2)</f>
        <v>0</v>
      </c>
      <c r="R197" s="243"/>
      <c r="S197" s="266">
        <f t="shared" si="41"/>
        <v>0</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1162</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-2414.75</v>
      </c>
      <c r="M198" s="243"/>
      <c r="N198" s="266">
        <f t="shared" si="40"/>
        <v>-2414.75</v>
      </c>
      <c r="O198" s="243"/>
      <c r="P198" s="38"/>
      <c r="Q198" s="266">
        <f>SUMIFS(BV_Data_An_Prec!$AM:$AM,BV_Data_An_Prec!$AP:$AP,$B198,BV_Data_An_Prec!$AQ:$AQ,$C198,BV_Data_An_Prec!$AR:$AR,$L$2)</f>
        <v>0</v>
      </c>
      <c r="R198" s="243"/>
      <c r="S198" s="266">
        <f t="shared" si="41"/>
        <v>-2414.75</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1162</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50000</v>
      </c>
      <c r="M199" s="233"/>
      <c r="N199" s="303">
        <f t="shared" si="40"/>
        <v>50000</v>
      </c>
      <c r="O199" s="233"/>
      <c r="P199" s="301"/>
      <c r="Q199" s="303">
        <f>SUMIFS(BV_Data_An_Prec!$AM:$AM,BV_Data_An_Prec!$AP:$AP,$B199,BV_Data_An_Prec!$AQ:$AQ,$C199,BV_Data_An_Prec!$AR:$AR,$L$2)</f>
        <v>0</v>
      </c>
      <c r="R199" s="233"/>
      <c r="S199" s="303">
        <f t="shared" si="41"/>
        <v>50000</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1162</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1162</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1162</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1162</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1162</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3236.5699999999997</v>
      </c>
      <c r="M204" s="243"/>
      <c r="N204" s="266">
        <f t="shared" si="40"/>
        <v>3236.5699999999997</v>
      </c>
      <c r="O204" s="243"/>
      <c r="P204" s="38"/>
      <c r="Q204" s="266">
        <f>SUMIFS(BV_Data_An_Prec!$AM:$AM,BV_Data_An_Prec!$AP:$AP,$B204,BV_Data_An_Prec!$AQ:$AQ,$C204,BV_Data_An_Prec!$AR:$AR,$L$2)</f>
        <v>0</v>
      </c>
      <c r="R204" s="243"/>
      <c r="S204" s="266">
        <f t="shared" si="41"/>
        <v>3236.5699999999997</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1162</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8697.7900000000009</v>
      </c>
      <c r="M205" s="233"/>
      <c r="N205" s="303">
        <f t="shared" si="40"/>
        <v>8697.7900000000009</v>
      </c>
      <c r="O205" s="233"/>
      <c r="P205" s="301"/>
      <c r="Q205" s="303">
        <f>SUMIFS(BV_Data_An_Prec!$AM:$AM,BV_Data_An_Prec!$AP:$AP,$B205,BV_Data_An_Prec!$AQ:$AQ,$C205,BV_Data_An_Prec!$AR:$AR,$L$2)</f>
        <v>0</v>
      </c>
      <c r="R205" s="233"/>
      <c r="S205" s="303">
        <f t="shared" si="41"/>
        <v>8697.7900000000009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1162</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1579.75</v>
      </c>
      <c r="M206" s="243"/>
      <c r="N206" s="266">
        <f t="shared" si="40"/>
        <v>1579.75</v>
      </c>
      <c r="O206" s="243"/>
      <c r="P206" s="38"/>
      <c r="Q206" s="266">
        <f>SUMIFS(BV_Data_An_Prec!$AM:$AM,BV_Data_An_Prec!$AP:$AP,$B206,BV_Data_An_Prec!$AQ:$AQ,$C206,BV_Data_An_Prec!$AR:$AR,$L$2)</f>
        <v>0</v>
      </c>
      <c r="R206" s="243"/>
      <c r="S206" s="266">
        <f t="shared" si="41"/>
        <v>1579.75</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1162</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1162</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1162</v>
      </c>
      <c r="C209" s="291" t="s">
        <v>124</v>
      </c>
      <c r="D209" s="292" t="s">
        <v>115</v>
      </c>
      <c r="E209" s="293" t="e">
        <f>F209/F$109</f>
        <v>#DIV/0!</v>
      </c>
      <c r="F209" s="294">
        <f>+SUM(F197:F208)</f>
        <v>0</v>
      </c>
      <c r="G209" s="295"/>
      <c r="H209" s="293"/>
      <c r="I209" s="294"/>
      <c r="J209" s="295" t="s">
        <v>115</v>
      </c>
      <c r="K209" s="293">
        <f>L209/L$109</f>
        <v>2.9228227971084424</v>
      </c>
      <c r="L209" s="294">
        <f>SUM(L197:L208)</f>
        <v>61099.360000000001</v>
      </c>
      <c r="M209" s="296"/>
      <c r="N209" s="294">
        <f t="shared" si="40"/>
        <v>61099.360000000001</v>
      </c>
      <c r="O209" s="295" t="s">
        <v>115</v>
      </c>
      <c r="P209" s="293" t="e">
        <f>Q209/Q$109</f>
        <v>#DIV/0!</v>
      </c>
      <c r="Q209" s="294">
        <f>SUM(Q197:Q208)</f>
        <v>0</v>
      </c>
      <c r="R209" s="297"/>
      <c r="S209" s="294">
        <f t="shared" si="41"/>
        <v>61099.360000000001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1162</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1162</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1162</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1162</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1162</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1162</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1162</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1162</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1162</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116</v>
      </c>
      <c r="M218" s="243"/>
      <c r="N218" s="266">
        <f t="shared" si="40"/>
        <v>116</v>
      </c>
      <c r="O218" s="243"/>
      <c r="P218" s="38"/>
      <c r="Q218" s="266">
        <f>SUMIFS(BV_Data_An_Prec!$AM:$AM,BV_Data_An_Prec!$AP:$AP,$B218,BV_Data_An_Prec!$AQ:$AQ,$C218,BV_Data_An_Prec!$AR:$AR,$L$2)</f>
        <v>0</v>
      </c>
      <c r="R218" s="243"/>
      <c r="S218" s="266">
        <f t="shared" si="41"/>
        <v>116</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1162</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1162</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371.57999999999993</v>
      </c>
      <c r="M220" s="243"/>
      <c r="N220" s="266">
        <f t="shared" si="40"/>
        <v>371.57999999999993</v>
      </c>
      <c r="O220" s="243"/>
      <c r="P220" s="38"/>
      <c r="Q220" s="266">
        <f>SUMIFS(BV_Data_An_Prec!$AM:$AM,BV_Data_An_Prec!$AP:$AP,$B220,BV_Data_An_Prec!$AQ:$AQ,$C220,BV_Data_An_Prec!$AR:$AR,$L$2)</f>
        <v>0</v>
      </c>
      <c r="R220" s="243"/>
      <c r="S220" s="266">
        <f t="shared" si="41"/>
        <v>371.57999999999993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1162</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1162</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1162</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1162</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1162</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1162</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1162</v>
      </c>
      <c r="C227" s="291" t="s">
        <v>139</v>
      </c>
      <c r="D227" s="292" t="s">
        <v>115</v>
      </c>
      <c r="E227" s="293" t="e">
        <f>F227/F$109</f>
        <v>#DIV/0!</v>
      </c>
      <c r="F227" s="294">
        <f>+SUM(F210:F226)</f>
        <v>0</v>
      </c>
      <c r="G227" s="295"/>
      <c r="H227" s="293"/>
      <c r="I227" s="294"/>
      <c r="J227" s="295" t="s">
        <v>115</v>
      </c>
      <c r="K227" s="293">
        <f>L227/L$109</f>
        <v>2.3324465909530544E-2</v>
      </c>
      <c r="L227" s="294">
        <f>+SUM(L210:L226)</f>
        <v>487.57999999999993</v>
      </c>
      <c r="M227" s="296"/>
      <c r="N227" s="294">
        <f t="shared" si="40"/>
        <v>487.57999999999993</v>
      </c>
      <c r="O227" s="295" t="s">
        <v>115</v>
      </c>
      <c r="P227" s="293" t="e">
        <f>Q227/Q$109</f>
        <v>#DIV/0!</v>
      </c>
      <c r="Q227" s="294">
        <f>+SUM(Q210:Q226)</f>
        <v>0</v>
      </c>
      <c r="R227" s="297"/>
      <c r="S227" s="294">
        <f t="shared" si="41"/>
        <v>487.57999999999993</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1162</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1162</v>
      </c>
      <c r="C229" s="291" t="s">
        <v>140</v>
      </c>
      <c r="D229" s="292" t="s">
        <v>115</v>
      </c>
      <c r="E229" s="293" t="e">
        <f>F229/F$109</f>
        <v>#DIV/0!</v>
      </c>
      <c r="F229" s="294">
        <f>F196+F209+F227</f>
        <v>0</v>
      </c>
      <c r="G229" s="295"/>
      <c r="H229" s="293"/>
      <c r="I229" s="294"/>
      <c r="J229" s="295" t="s">
        <v>115</v>
      </c>
      <c r="K229" s="293">
        <f>L229/L$109</f>
        <v>4.0932619857319548</v>
      </c>
      <c r="L229" s="294">
        <f>L196+L209+L227</f>
        <v>85566.49</v>
      </c>
      <c r="M229" s="296"/>
      <c r="N229" s="294">
        <f t="shared" ref="N229:N236" si="42">L229-F229</f>
        <v>85566.49</v>
      </c>
      <c r="O229" s="295" t="s">
        <v>115</v>
      </c>
      <c r="P229" s="293" t="e">
        <f>Q229/Q$109</f>
        <v>#DIV/0!</v>
      </c>
      <c r="Q229" s="294">
        <f>Q196+Q209+Q227</f>
        <v>0</v>
      </c>
      <c r="R229" s="297"/>
      <c r="S229" s="294">
        <f t="shared" ref="S229:S236" si="43">L229-Q229</f>
        <v>85566.49</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1162</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1162</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1162</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1162</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173213.12999999942</v>
      </c>
      <c r="M239" s="960"/>
      <c r="N239" s="958" t="e">
        <f>L239-F239</f>
        <v>#REF!</v>
      </c>
      <c r="O239" s="959"/>
      <c r="P239" s="957"/>
      <c r="Q239" s="958">
        <f>Q182-Q229+Q237</f>
        <v>0</v>
      </c>
      <c r="R239" s="961"/>
      <c r="S239" s="958">
        <f>L239-Q239</f>
        <v>173213.12999999942</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Décembre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7" t="s">
        <v>339</v>
      </c>
      <c r="E244" s="1072"/>
      <c r="F244" s="1073"/>
      <c r="G244" s="1074"/>
      <c r="H244" s="1072"/>
      <c r="I244" s="1073"/>
      <c r="J244" s="1074" t="s">
        <v>340</v>
      </c>
      <c r="K244" s="1072"/>
      <c r="L244" s="1073"/>
      <c r="M244" s="1074" t="s">
        <v>668</v>
      </c>
      <c r="N244" s="1073"/>
      <c r="O244" s="1067" t="s">
        <v>341</v>
      </c>
      <c r="P244" s="1072"/>
      <c r="Q244" s="1073"/>
      <c r="R244" s="1066" t="s">
        <v>670</v>
      </c>
      <c r="S244" s="1075"/>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180</v>
      </c>
      <c r="K246" s="281">
        <f>-SUMIFS(BV_Data_An_Cour!$AM:$AM,BV_Data_An_Cour!$AS:$AS,"Oui",BV_Data_An_Cour!$AP:$AP,$B246,BV_Data_An_Cour!$AQ:$AQ,$C246)</f>
        <v>78077.910000000033</v>
      </c>
      <c r="L246" s="266">
        <f>-SUMIFS(BV_Data_An_Cour!$AM:$AM,BV_Data_An_Cour!$AP:$AP,$B246,BV_Data_An_Cour!$AQ:$AQ,$C246,BV_Data_An_Cour!$AR:$AR,$L$2)</f>
        <v>60845.260000000031</v>
      </c>
      <c r="M246" s="282" t="e">
        <f>(K246-E246)/E246</f>
        <v>#DIV/0!</v>
      </c>
      <c r="N246" s="266">
        <f>L246-F246</f>
        <v>60845.260000000031</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60845.260000000031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0.77928904603107341</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433.76616666666683</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252</v>
      </c>
      <c r="K249" s="336">
        <f>-SUMIFS(BV_Data_An_Cour!$AM:$AM,BV_Data_An_Cour!$AS:$AS,"Oui",BV_Data_An_Cour!$AP:$AP,$B249,BV_Data_An_Cour!$AQ:$AQ,$C249)</f>
        <v>38763.679999999935</v>
      </c>
      <c r="L249" s="266">
        <f>-SUMIFS(BV_Data_An_Cour!$AM:$AM,BV_Data_An_Cour!$AP:$AP,$B249,BV_Data_An_Cour!$AQ:$AQ,$C249,BV_Data_An_Cour!$AR:$AR,$L$2)</f>
        <v>26623.179999999935</v>
      </c>
      <c r="M249" s="282" t="e">
        <f>(K249-E249)/E249</f>
        <v>#DIV/0!</v>
      </c>
      <c r="N249" s="303">
        <f>L249-F249</f>
        <v>26623.179999999935</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26623.179999999935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0.68680734130505616</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153.82412698412674</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375</v>
      </c>
      <c r="K252" s="336">
        <f>-SUMIFS(BV_Data_An_Cour!$AM:$AM,BV_Data_An_Cour!$AS:$AS,"Oui",BV_Data_An_Cour!$AP:$AP,$B252,BV_Data_An_Cour!$AQ:$AQ,$C252)</f>
        <v>56141.400000000023</v>
      </c>
      <c r="L252" s="266">
        <f>-SUMIFS(BV_Data_An_Cour!$AM:$AM,BV_Data_An_Cour!$AP:$AP,$B252,BV_Data_An_Cour!$AQ:$AQ,$C252,BV_Data_An_Cour!$AR:$AR,$L$2)</f>
        <v>37294.320000000029</v>
      </c>
      <c r="M252" s="282" t="e">
        <f>(K252-E252)/E252</f>
        <v>#DIV/0!</v>
      </c>
      <c r="N252" s="266">
        <f>L252-F252</f>
        <v>37294.320000000029</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37294.320000000029</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0.66429266103089724</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149.71040000000005</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-3012.8000000000011</v>
      </c>
      <c r="M258" s="267"/>
      <c r="N258" s="266">
        <f>L258-F258</f>
        <v>-3012.8000000000011</v>
      </c>
      <c r="O258" s="267"/>
      <c r="P258" s="281"/>
      <c r="Q258" s="281">
        <f>-SUMIFS(BV_Data_An_Prec!$AM:$AM,BV_Data_An_Prec!$AP:$AP,$B258,BV_Data_An_Prec!$AQ:$AQ,$C258,BV_Data_An_Prec!$AR:$AR,$L$2)</f>
        <v>0</v>
      </c>
      <c r="R258" s="345"/>
      <c r="S258" s="266">
        <f t="shared" ref="S258:S259" si="44">L258-Q258</f>
        <v>-3012.8000000000011</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807</v>
      </c>
      <c r="K259" s="976">
        <f t="shared" si="45"/>
        <v>172982.99</v>
      </c>
      <c r="L259" s="977">
        <f>L246+L249+L252+L255+L258</f>
        <v>121749.96</v>
      </c>
      <c r="M259" s="978" t="e">
        <f>(K259-E259)/E259</f>
        <v>#DIV/0!</v>
      </c>
      <c r="N259" s="977">
        <f>L259-F259</f>
        <v>121749.96</v>
      </c>
      <c r="O259" s="975">
        <f t="shared" ref="O259:P259" si="46">O246+O249+O252+O255+O258</f>
        <v>0</v>
      </c>
      <c r="P259" s="976">
        <f t="shared" si="46"/>
        <v>0</v>
      </c>
      <c r="Q259" s="977">
        <f>Q246+Q249+Q252+Q255+Q258</f>
        <v>0</v>
      </c>
      <c r="R259" s="254">
        <f>IF(O259=0,0,J259/O259)</f>
        <v>0</v>
      </c>
      <c r="S259" s="348">
        <f t="shared" si="44"/>
        <v>121749.96</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214.35314745972738</v>
      </c>
      <c r="L260" s="255">
        <f>IF(L259=0,0,L259/K259)</f>
        <v>0.70382619701509386</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249</v>
      </c>
      <c r="K262" s="281">
        <f>-SUMIFS(BV_Data_An_Cour!$AM:$AM,BV_Data_An_Cour!$AS:$AS,"Oui",BV_Data_An_Cour!$AP:$AP,$B262,BV_Data_An_Cour!$AQ:$AQ,$C262)</f>
        <v>11625.299999999981</v>
      </c>
      <c r="L262" s="266">
        <f>-SUMIFS(BV_Data_An_Cour!$AM:$AM,BV_Data_An_Cour!$AP:$AP,$B262,BV_Data_An_Cour!$AQ:$AQ,$C262,BV_Data_An_Cour!$AR:$AR,$L$2)</f>
        <v>1220.880000000001</v>
      </c>
      <c r="M262" s="282">
        <f>IF(E262=0,0,(K262-E262)/E262)</f>
        <v>0</v>
      </c>
      <c r="N262" s="266">
        <f>L262-F262</f>
        <v>1220.880000000001</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1220.880000000001</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0.10501922531031484</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184608.28999999998</v>
      </c>
      <c r="L268" s="271">
        <f>L259+L262+L265</f>
        <v>122970.84000000001</v>
      </c>
      <c r="M268" s="272" t="e">
        <f>L269-F269</f>
        <v>#DIV/0!</v>
      </c>
      <c r="N268" s="271">
        <f>L268-F268</f>
        <v>122970.84000000001</v>
      </c>
      <c r="O268" s="272"/>
      <c r="P268" s="269">
        <f t="shared" ref="P268" si="48">P259+P262+P265</f>
        <v>0</v>
      </c>
      <c r="Q268" s="271">
        <f>Q259+Q262+Q265</f>
        <v>0</v>
      </c>
      <c r="R268" s="272"/>
      <c r="S268" s="271">
        <f>L268-Q268</f>
        <v>122970.84000000001</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0.66611764834612808</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16687.419999999984</v>
      </c>
      <c r="M272" s="243"/>
      <c r="N272" s="266">
        <f t="shared" ref="N272:N303" si="49">L272-F272</f>
        <v>16687.419999999984</v>
      </c>
      <c r="O272" s="243"/>
      <c r="P272" s="38"/>
      <c r="Q272" s="266">
        <f>SUMIFS(BV_Data_An_Prec!$AM:$AM,BV_Data_An_Prec!$AP:$AP,$B272,BV_Data_An_Prec!$AQ:$AQ,$C272,BV_Data_An_Prec!$AR:$AR,$L$2)</f>
        <v>0</v>
      </c>
      <c r="R272" s="243"/>
      <c r="S272" s="266">
        <f t="shared" ref="S272:S303" si="50">L272-Q272</f>
        <v>16687.419999999984</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25077.409999999974</v>
      </c>
      <c r="M273" s="243"/>
      <c r="N273" s="266">
        <f t="shared" si="49"/>
        <v>25077.409999999974</v>
      </c>
      <c r="O273" s="243"/>
      <c r="P273" s="38"/>
      <c r="Q273" s="266">
        <f>SUMIFS(BV_Data_An_Prec!$AM:$AM,BV_Data_An_Prec!$AP:$AP,$B273,BV_Data_An_Prec!$AQ:$AQ,$C273,BV_Data_An_Prec!$AR:$AR,$L$2)</f>
        <v>0</v>
      </c>
      <c r="R273" s="243"/>
      <c r="S273" s="266">
        <f t="shared" si="50"/>
        <v>25077.409999999974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15325.47000000003</v>
      </c>
      <c r="M274" s="233"/>
      <c r="N274" s="303">
        <f t="shared" si="49"/>
        <v>15325.47000000003</v>
      </c>
      <c r="O274" s="233"/>
      <c r="P274" s="301"/>
      <c r="Q274" s="303">
        <f>SUMIFS(BV_Data_An_Prec!$AM:$AM,BV_Data_An_Prec!$AP:$AP,$B274,BV_Data_An_Prec!$AQ:$AQ,$C274,BV_Data_An_Prec!$AR:$AR,$L$2)</f>
        <v>0</v>
      </c>
      <c r="R274" s="233"/>
      <c r="S274" s="303">
        <f t="shared" si="50"/>
        <v>15325.47000000003</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35094.550000000017</v>
      </c>
      <c r="M279" s="243"/>
      <c r="N279" s="266">
        <f t="shared" si="49"/>
        <v>35094.550000000017</v>
      </c>
      <c r="O279" s="243"/>
      <c r="P279" s="38"/>
      <c r="Q279" s="266">
        <f>SUMIFS(BV_Data_An_Prec!$AM:$AM,BV_Data_An_Prec!$AP:$AP,$B279,BV_Data_An_Prec!$AQ:$AQ,$C279,BV_Data_An_Prec!$AR:$AR,$L$2)</f>
        <v>0</v>
      </c>
      <c r="R279" s="243"/>
      <c r="S279" s="266">
        <f t="shared" si="50"/>
        <v>35094.550000000017</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21667.329999999987</v>
      </c>
      <c r="M280" s="233"/>
      <c r="N280" s="303">
        <f t="shared" si="49"/>
        <v>21667.329999999987</v>
      </c>
      <c r="O280" s="233"/>
      <c r="P280" s="301"/>
      <c r="Q280" s="303">
        <f>SUMIFS(BV_Data_An_Prec!$AM:$AM,BV_Data_An_Prec!$AP:$AP,$B280,BV_Data_An_Prec!$AQ:$AQ,$C280,BV_Data_An_Prec!$AR:$AR,$L$2)</f>
        <v>0</v>
      </c>
      <c r="R280" s="233"/>
      <c r="S280" s="303">
        <f t="shared" si="50"/>
        <v>21667.329999999987</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32241.76999999999</v>
      </c>
      <c r="M281" s="243"/>
      <c r="N281" s="266">
        <f t="shared" si="49"/>
        <v>32241.76999999999</v>
      </c>
      <c r="O281" s="243"/>
      <c r="P281" s="38"/>
      <c r="Q281" s="266">
        <f>SUMIFS(BV_Data_An_Prec!$AM:$AM,BV_Data_An_Prec!$AP:$AP,$B281,BV_Data_An_Prec!$AQ:$AQ,$C281,BV_Data_An_Prec!$AR:$AR,$L$2)</f>
        <v>0</v>
      </c>
      <c r="R281" s="243"/>
      <c r="S281" s="266">
        <f t="shared" si="50"/>
        <v>32241.76999999999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-6944.0899999999983</v>
      </c>
      <c r="M282" s="243"/>
      <c r="N282" s="266">
        <f t="shared" si="49"/>
        <v>-6944.0899999999983</v>
      </c>
      <c r="O282" s="243"/>
      <c r="P282" s="38"/>
      <c r="Q282" s="266">
        <f>SUMIFS(BV_Data_An_Prec!$AM:$AM,BV_Data_An_Prec!$AP:$AP,$B282,BV_Data_An_Prec!$AQ:$AQ,$C282,BV_Data_An_Prec!$AR:$AR,$L$2)</f>
        <v>0</v>
      </c>
      <c r="R282" s="243"/>
      <c r="S282" s="266">
        <f t="shared" si="50"/>
        <v>-6944.0899999999983</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1.1315679391959912</v>
      </c>
      <c r="L284" s="294">
        <f>+SUM(L272:L283)</f>
        <v>139149.85999999999</v>
      </c>
      <c r="M284" s="296"/>
      <c r="N284" s="294">
        <f t="shared" si="49"/>
        <v>139149.85999999999</v>
      </c>
      <c r="O284" s="295" t="s">
        <v>171</v>
      </c>
      <c r="P284" s="293" t="e">
        <f>Q284/Q$268</f>
        <v>#DIV/0!</v>
      </c>
      <c r="Q284" s="294">
        <f>+SUM(Q272:Q283)</f>
        <v>0</v>
      </c>
      <c r="R284" s="297"/>
      <c r="S284" s="294">
        <f t="shared" si="50"/>
        <v>139149.85999999999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9099.4900000000016</v>
      </c>
      <c r="M285" s="243"/>
      <c r="N285" s="266">
        <f t="shared" si="49"/>
        <v>9099.4900000000016</v>
      </c>
      <c r="O285" s="243"/>
      <c r="P285" s="38"/>
      <c r="Q285" s="266">
        <f>SUMIFS(BV_Data_An_Prec!$AM:$AM,BV_Data_An_Prec!$AP:$AP,$B285,BV_Data_An_Prec!$AQ:$AQ,$C285,BV_Data_An_Prec!$AR:$AR,$L$2)</f>
        <v>0</v>
      </c>
      <c r="R285" s="243"/>
      <c r="S285" s="266">
        <f t="shared" si="50"/>
        <v>9099.4900000000016</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10024.239999999998</v>
      </c>
      <c r="M286" s="243"/>
      <c r="N286" s="266">
        <f t="shared" si="49"/>
        <v>10024.239999999998</v>
      </c>
      <c r="O286" s="243"/>
      <c r="P286" s="38"/>
      <c r="Q286" s="266">
        <f>SUMIFS(BV_Data_An_Prec!$AM:$AM,BV_Data_An_Prec!$AP:$AP,$B286,BV_Data_An_Prec!$AQ:$AQ,$C286,BV_Data_An_Prec!$AR:$AR,$L$2)</f>
        <v>0</v>
      </c>
      <c r="R286" s="243"/>
      <c r="S286" s="266">
        <f t="shared" si="50"/>
        <v>10024.239999999998</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4024.0599999999977</v>
      </c>
      <c r="M287" s="238"/>
      <c r="N287" s="286">
        <f t="shared" si="49"/>
        <v>4024.0599999999977</v>
      </c>
      <c r="O287" s="238"/>
      <c r="P287" s="304"/>
      <c r="Q287" s="266">
        <f>SUMIFS(BV_Data_An_Prec!$AM:$AM,BV_Data_An_Prec!$AP:$AP,$B287,BV_Data_An_Prec!$AQ:$AQ,$C287,BV_Data_An_Prec!$AR:$AR,$L$2)</f>
        <v>0</v>
      </c>
      <c r="R287" s="238"/>
      <c r="S287" s="286">
        <f t="shared" si="50"/>
        <v>4024.0599999999977</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5182.1299999999974</v>
      </c>
      <c r="M288" s="243"/>
      <c r="N288" s="266">
        <f t="shared" si="49"/>
        <v>5182.1299999999974</v>
      </c>
      <c r="O288" s="243"/>
      <c r="P288" s="38"/>
      <c r="Q288" s="303">
        <f>SUMIFS(BV_Data_An_Prec!$AM:$AM,BV_Data_An_Prec!$AP:$AP,$B288,BV_Data_An_Prec!$AQ:$AQ,$C288,BV_Data_An_Prec!$AR:$AR,$L$2)</f>
        <v>0</v>
      </c>
      <c r="R288" s="243"/>
      <c r="S288" s="266">
        <f t="shared" si="50"/>
        <v>5182.1299999999974</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-4822.4999999999964</v>
      </c>
      <c r="M289" s="243"/>
      <c r="N289" s="266">
        <f t="shared" si="49"/>
        <v>-4822.4999999999964</v>
      </c>
      <c r="O289" s="243"/>
      <c r="P289" s="38"/>
      <c r="Q289" s="266">
        <f>SUMIFS(BV_Data_An_Prec!$AM:$AM,BV_Data_An_Prec!$AP:$AP,$B289,BV_Data_An_Prec!$AQ:$AQ,$C289,BV_Data_An_Prec!$AR:$AR,$L$2)</f>
        <v>0</v>
      </c>
      <c r="R289" s="243"/>
      <c r="S289" s="266">
        <f t="shared" si="50"/>
        <v>-4822.4999999999964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12622.769999999997</v>
      </c>
      <c r="M290" s="238"/>
      <c r="N290" s="286">
        <f t="shared" si="49"/>
        <v>12622.769999999997</v>
      </c>
      <c r="O290" s="238"/>
      <c r="P290" s="304"/>
      <c r="Q290" s="266">
        <f>SUMIFS(BV_Data_An_Prec!$AM:$AM,BV_Data_An_Prec!$AP:$AP,$B290,BV_Data_An_Prec!$AQ:$AQ,$C290,BV_Data_An_Prec!$AR:$AR,$L$2)</f>
        <v>0</v>
      </c>
      <c r="R290" s="238"/>
      <c r="S290" s="286">
        <f t="shared" si="50"/>
        <v>12622.769999999997</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6765.6500000000015</v>
      </c>
      <c r="M292" s="243"/>
      <c r="N292" s="266">
        <f t="shared" si="49"/>
        <v>6765.6500000000015</v>
      </c>
      <c r="O292" s="243"/>
      <c r="P292" s="38"/>
      <c r="Q292" s="266">
        <f>SUMIFS(BV_Data_An_Prec!$AM:$AM,BV_Data_An_Prec!$AP:$AP,$B292,BV_Data_An_Prec!$AQ:$AQ,$C292,BV_Data_An_Prec!$AR:$AR,$L$2)</f>
        <v>0</v>
      </c>
      <c r="R292" s="243"/>
      <c r="S292" s="266">
        <f t="shared" si="50"/>
        <v>6765.6500000000015</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1128.3300000000017</v>
      </c>
      <c r="M294" s="243"/>
      <c r="N294" s="266">
        <f t="shared" si="49"/>
        <v>1128.3300000000017</v>
      </c>
      <c r="O294" s="243"/>
      <c r="P294" s="281"/>
      <c r="Q294" s="266">
        <f>SUMIFS(BV_Data_An_Prec!$AM:$AM,BV_Data_An_Prec!$AP:$AP,$B294,BV_Data_An_Prec!$AQ:$AQ,$C294,BV_Data_An_Prec!$AR:$AR,$L$2)</f>
        <v>0</v>
      </c>
      <c r="R294" s="243"/>
      <c r="S294" s="266">
        <f t="shared" si="50"/>
        <v>1128.3300000000017</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339.81999999999971</v>
      </c>
      <c r="M295" s="243"/>
      <c r="N295" s="266">
        <f t="shared" si="49"/>
        <v>339.81999999999971</v>
      </c>
      <c r="O295" s="243"/>
      <c r="P295" s="38"/>
      <c r="Q295" s="266">
        <f>SUMIFS(BV_Data_An_Prec!$AM:$AM,BV_Data_An_Prec!$AP:$AP,$B295,BV_Data_An_Prec!$AQ:$AQ,$C295,BV_Data_An_Prec!$AR:$AR,$L$2)</f>
        <v>0</v>
      </c>
      <c r="R295" s="243"/>
      <c r="S295" s="266">
        <f t="shared" si="50"/>
        <v>339.81999999999971</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740.9399999999996</v>
      </c>
      <c r="M296" s="243"/>
      <c r="N296" s="266">
        <f t="shared" si="49"/>
        <v>740.9399999999996</v>
      </c>
      <c r="O296" s="243"/>
      <c r="P296" s="38"/>
      <c r="Q296" s="266">
        <f>SUMIFS(BV_Data_An_Prec!$AM:$AM,BV_Data_An_Prec!$AP:$AP,$B296,BV_Data_An_Prec!$AQ:$AQ,$C296,BV_Data_An_Prec!$AR:$AR,$L$2)</f>
        <v>0</v>
      </c>
      <c r="R296" s="243"/>
      <c r="S296" s="266">
        <f t="shared" si="50"/>
        <v>740.9399999999996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4039.659999999998</v>
      </c>
      <c r="M297" s="243"/>
      <c r="N297" s="266">
        <f t="shared" si="49"/>
        <v>4039.659999999998</v>
      </c>
      <c r="O297" s="243"/>
      <c r="P297" s="38"/>
      <c r="Q297" s="266">
        <f>SUMIFS(BV_Data_An_Prec!$AM:$AM,BV_Data_An_Prec!$AP:$AP,$B297,BV_Data_An_Prec!$AQ:$AQ,$C297,BV_Data_An_Prec!$AR:$AR,$L$2)</f>
        <v>0</v>
      </c>
      <c r="R297" s="243"/>
      <c r="S297" s="266">
        <f t="shared" si="50"/>
        <v>4039.659999999998</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2351.7999999999993</v>
      </c>
      <c r="M298" s="243"/>
      <c r="N298" s="266">
        <f t="shared" si="49"/>
        <v>2351.7999999999993</v>
      </c>
      <c r="O298" s="243"/>
      <c r="P298" s="38"/>
      <c r="Q298" s="266">
        <f>SUMIFS(BV_Data_An_Prec!$AM:$AM,BV_Data_An_Prec!$AP:$AP,$B298,BV_Data_An_Prec!$AQ:$AQ,$C298,BV_Data_An_Prec!$AR:$AR,$L$2)</f>
        <v>0</v>
      </c>
      <c r="R298" s="243"/>
      <c r="S298" s="266">
        <f t="shared" si="50"/>
        <v>2351.7999999999993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1679.1200000000008</v>
      </c>
      <c r="M299" s="243"/>
      <c r="N299" s="266">
        <f t="shared" si="49"/>
        <v>1679.1200000000008</v>
      </c>
      <c r="O299" s="243"/>
      <c r="P299" s="38"/>
      <c r="Q299" s="266">
        <f>SUMIFS(BV_Data_An_Prec!$AM:$AM,BV_Data_An_Prec!$AP:$AP,$B299,BV_Data_An_Prec!$AQ:$AQ,$C299,BV_Data_An_Prec!$AR:$AR,$L$2)</f>
        <v>0</v>
      </c>
      <c r="R299" s="243"/>
      <c r="S299" s="266">
        <f t="shared" si="50"/>
        <v>1679.1200000000008</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0.43242373557828828</v>
      </c>
      <c r="L303" s="294">
        <f>+SUM(L285:L302)</f>
        <v>53175.51</v>
      </c>
      <c r="M303" s="296"/>
      <c r="N303" s="294">
        <f t="shared" si="49"/>
        <v>53175.51</v>
      </c>
      <c r="O303" s="295" t="s">
        <v>171</v>
      </c>
      <c r="P303" s="293" t="e">
        <f>Q303/Q$268</f>
        <v>#DIV/0!</v>
      </c>
      <c r="Q303" s="294">
        <f>+SUM(Q285:Q302)</f>
        <v>0</v>
      </c>
      <c r="R303" s="297"/>
      <c r="S303" s="294">
        <f t="shared" si="50"/>
        <v>53175.51</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1.5639916747742797</v>
      </c>
      <c r="L305" s="294">
        <f>L284+L303</f>
        <v>192325.37</v>
      </c>
      <c r="M305" s="296"/>
      <c r="N305" s="294">
        <f>L305-F305</f>
        <v>192325.37</v>
      </c>
      <c r="O305" s="295" t="s">
        <v>115</v>
      </c>
      <c r="P305" s="293" t="e">
        <f>Q305/Q$268</f>
        <v>#DIV/0!</v>
      </c>
      <c r="Q305" s="294">
        <f>Q284+Q303</f>
        <v>0</v>
      </c>
      <c r="R305" s="297"/>
      <c r="S305" s="294">
        <f>L305-Q305</f>
        <v>192325.37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-69354.529999999984</v>
      </c>
      <c r="M307" s="960"/>
      <c r="N307" s="958">
        <f>L307-F307</f>
        <v>-69354.529999999984</v>
      </c>
      <c r="O307" s="959"/>
      <c r="P307" s="957"/>
      <c r="Q307" s="958">
        <f>Q268-Q305</f>
        <v>0</v>
      </c>
      <c r="R307" s="961"/>
      <c r="S307" s="958">
        <f>L307-Q307</f>
        <v>-69354.529999999984</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Décembre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7" t="s">
        <v>339</v>
      </c>
      <c r="E312" s="1072"/>
      <c r="F312" s="1073"/>
      <c r="G312" s="1074"/>
      <c r="H312" s="1072"/>
      <c r="I312" s="1073"/>
      <c r="J312" s="1074" t="s">
        <v>340</v>
      </c>
      <c r="K312" s="1072"/>
      <c r="L312" s="1073"/>
      <c r="M312" s="1074" t="s">
        <v>668</v>
      </c>
      <c r="N312" s="1073"/>
      <c r="O312" s="1067" t="s">
        <v>341</v>
      </c>
      <c r="P312" s="1072"/>
      <c r="Q312" s="1073"/>
      <c r="R312" s="1066" t="s">
        <v>670</v>
      </c>
      <c r="S312" s="1075"/>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1173</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137591.47000000003</v>
      </c>
      <c r="L315" s="266">
        <f>-SUMIFS(BV_Data_An_Cour!$AM:$AM,BV_Data_An_Cour!$AP:$AP,$B315,BV_Data_An_Cour!$AQ:$AQ,$C315,BV_Data_An_Cour!$AR:$AR,$L$2)</f>
        <v>5946.9099999999744</v>
      </c>
      <c r="M315" s="282">
        <f>IFERROR((K315-E315)/E315,0)</f>
        <v>0</v>
      </c>
      <c r="N315" s="266">
        <f>L315-F315</f>
        <v>5946.9099999999744</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5946.9099999999744</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4.3221502030612605E-2</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1171</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5243.2800000000043</v>
      </c>
      <c r="L318" s="303">
        <f>-SUMIFS(BV_Data_An_Cour!$AM:$AM,BV_Data_An_Cour!$AP:$AP,$B318,BV_Data_An_Cour!$AQ:$AQ,$C318,BV_Data_An_Cour!$AR:$AR,$L$2)</f>
        <v>-4356.2099999999946</v>
      </c>
      <c r="M318" s="340">
        <f>IFERROR((K318-E318)/E318,0)</f>
        <v>0</v>
      </c>
      <c r="N318" s="303">
        <f>L318-F318</f>
        <v>-4356.2099999999946</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-4356.2099999999946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-0.83081773241177104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1172</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1174</v>
      </c>
      <c r="D324" s="38"/>
      <c r="E324" s="38"/>
      <c r="F324" s="927"/>
      <c r="G324" s="681"/>
      <c r="H324" s="38"/>
      <c r="I324" s="927"/>
      <c r="J324" s="681"/>
      <c r="K324" s="38"/>
      <c r="L324" s="266">
        <f>-SUMIFS(BV_Data_An_Cour!$AM:$AM,BV_Data_An_Cour!$AP:$AP,$B324,BV_Data_An_Cour!$AQ:$AQ,$C324,BV_Data_An_Cour!$AR:$AR,$L$2)</f>
        <v>819.10000000000036</v>
      </c>
      <c r="M324" s="928"/>
      <c r="N324" s="929"/>
      <c r="O324" s="681"/>
      <c r="P324" s="38"/>
      <c r="Q324" s="266">
        <f>-SUMIFS(BV_Data_An_Prec!$AM:$AM,BV_Data_An_Prec!$AP:$AP,$B324,BV_Data_An_Prec!$AQ:$AQ,$C324,BV_Data_An_Prec!$AR:$AR,$L$2)</f>
        <v>0</v>
      </c>
      <c r="R324" s="282">
        <f>IF(O324=0,0,J324/O324)</f>
        <v>0</v>
      </c>
      <c r="S324" s="266">
        <f>L324-Q324</f>
        <v>819.10000000000036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3102</v>
      </c>
      <c r="D326" s="269"/>
      <c r="E326" s="270">
        <f>E318+E321+E315</f>
        <v>0</v>
      </c>
      <c r="F326" s="271">
        <f>F318+F321+F315</f>
        <v>0</v>
      </c>
      <c r="G326" s="272"/>
      <c r="H326" s="270"/>
      <c r="I326" s="271"/>
      <c r="J326" s="272"/>
      <c r="K326" s="269">
        <f t="shared" ref="K326" si="51">K318+K321+K315</f>
        <v>142834.75000000003</v>
      </c>
      <c r="L326" s="271">
        <f>L318+L321+L315+L324</f>
        <v>2409.7999999999802</v>
      </c>
      <c r="M326" s="272" t="e">
        <f>L327-F327</f>
        <v>#DIV/0!</v>
      </c>
      <c r="N326" s="271">
        <f>L326-F326</f>
        <v>2409.7999999999802</v>
      </c>
      <c r="O326" s="272"/>
      <c r="P326" s="269">
        <f t="shared" ref="P326" si="52">P318+P321+P315</f>
        <v>0</v>
      </c>
      <c r="Q326" s="271">
        <f>Q318+Q321+Q315+Q324</f>
        <v>0</v>
      </c>
      <c r="R326" s="272"/>
      <c r="S326" s="271">
        <f>L326-Q326</f>
        <v>2409.7999999999802</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12552.779999999999</v>
      </c>
      <c r="M330" s="243"/>
      <c r="N330" s="266">
        <f t="shared" ref="N330:N360" si="53">L330-F330</f>
        <v>12552.779999999999</v>
      </c>
      <c r="O330" s="243"/>
      <c r="P330" s="38"/>
      <c r="Q330" s="266">
        <f>SUMIFS(BV_Data_An_Prec!$AM:$AM,BV_Data_An_Prec!$AP:$AP,$B330,BV_Data_An_Prec!$AQ:$AQ,$C330,BV_Data_An_Prec!$AR:$AR,$L$2)</f>
        <v>0</v>
      </c>
      <c r="R330" s="243"/>
      <c r="S330" s="266">
        <f t="shared" ref="S330:S361" si="54">L330-Q330</f>
        <v>12552.779999999999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5894.6600000000035</v>
      </c>
      <c r="M331" s="243"/>
      <c r="N331" s="266">
        <f t="shared" si="53"/>
        <v>5894.6600000000035</v>
      </c>
      <c r="O331" s="243"/>
      <c r="P331" s="38"/>
      <c r="Q331" s="266">
        <f>SUMIFS(BV_Data_An_Prec!$AM:$AM,BV_Data_An_Prec!$AP:$AP,$B331,BV_Data_An_Prec!$AQ:$AQ,$C331,BV_Data_An_Prec!$AR:$AR,$L$2)</f>
        <v>0</v>
      </c>
      <c r="R331" s="243"/>
      <c r="S331" s="266">
        <f t="shared" si="54"/>
        <v>5894.6600000000035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7547.1900000000023</v>
      </c>
      <c r="M337" s="243"/>
      <c r="N337" s="266">
        <f t="shared" si="53"/>
        <v>7547.1900000000023</v>
      </c>
      <c r="O337" s="243"/>
      <c r="P337" s="38"/>
      <c r="Q337" s="266">
        <f>SUMIFS(BV_Data_An_Prec!$AM:$AM,BV_Data_An_Prec!$AP:$AP,$B337,BV_Data_An_Prec!$AQ:$AQ,$C337,BV_Data_An_Prec!$AR:$AR,$L$2)</f>
        <v>0</v>
      </c>
      <c r="R337" s="243"/>
      <c r="S337" s="266">
        <f t="shared" si="54"/>
        <v>7547.1900000000023</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5622.0400000000009</v>
      </c>
      <c r="M338" s="233"/>
      <c r="N338" s="303">
        <f t="shared" si="53"/>
        <v>5622.0400000000009</v>
      </c>
      <c r="O338" s="233"/>
      <c r="P338" s="301"/>
      <c r="Q338" s="303">
        <f>SUMIFS(BV_Data_An_Prec!$AM:$AM,BV_Data_An_Prec!$AP:$AP,$B338,BV_Data_An_Prec!$AQ:$AQ,$C338,BV_Data_An_Prec!$AR:$AR,$L$2)</f>
        <v>0</v>
      </c>
      <c r="R338" s="233"/>
      <c r="S338" s="303">
        <f t="shared" si="54"/>
        <v>5622.0400000000009</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10013.830000000002</v>
      </c>
      <c r="M339" s="243"/>
      <c r="N339" s="266">
        <f t="shared" si="53"/>
        <v>10013.830000000002</v>
      </c>
      <c r="O339" s="243"/>
      <c r="P339" s="38"/>
      <c r="Q339" s="266">
        <f>SUMIFS(BV_Data_An_Prec!$AM:$AM,BV_Data_An_Prec!$AP:$AP,$B339,BV_Data_An_Prec!$AQ:$AQ,$C339,BV_Data_An_Prec!$AR:$AR,$L$2)</f>
        <v>0</v>
      </c>
      <c r="R339" s="243"/>
      <c r="S339" s="266">
        <f t="shared" si="54"/>
        <v>10013.830000000002</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-2471.5300000000002</v>
      </c>
      <c r="M340" s="243"/>
      <c r="N340" s="266">
        <f t="shared" si="53"/>
        <v>-2471.5300000000002</v>
      </c>
      <c r="O340" s="243"/>
      <c r="P340" s="38"/>
      <c r="Q340" s="266">
        <f>SUMIFS(BV_Data_An_Prec!$AM:$AM,BV_Data_An_Prec!$AP:$AP,$B340,BV_Data_An_Prec!$AQ:$AQ,$C340,BV_Data_An_Prec!$AR:$AR,$L$2)</f>
        <v>0</v>
      </c>
      <c r="R340" s="243"/>
      <c r="S340" s="266">
        <f t="shared" si="54"/>
        <v>-2471.5300000000002</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16.249883807785015</v>
      </c>
      <c r="L342" s="294">
        <f>+SUM(L330:L341)</f>
        <v>39158.970000000008</v>
      </c>
      <c r="M342" s="296"/>
      <c r="N342" s="294">
        <f t="shared" si="53"/>
        <v>39158.970000000008</v>
      </c>
      <c r="O342" s="295" t="s">
        <v>115</v>
      </c>
      <c r="P342" s="293">
        <f>IF(Q326=0,0,Q342/Q$326)</f>
        <v>0</v>
      </c>
      <c r="Q342" s="294">
        <f>+SUM(Q330:Q341)</f>
        <v>0</v>
      </c>
      <c r="R342" s="297"/>
      <c r="S342" s="294">
        <f t="shared" si="54"/>
        <v>39158.970000000008</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4918.9999999999991</v>
      </c>
      <c r="M343" s="243"/>
      <c r="N343" s="266">
        <f t="shared" si="53"/>
        <v>4918.9999999999991</v>
      </c>
      <c r="O343" s="243"/>
      <c r="P343" s="38"/>
      <c r="Q343" s="266">
        <f>SUMIFS(BV_Data_An_Prec!$AM:$AM,BV_Data_An_Prec!$AP:$AP,$B343,BV_Data_An_Prec!$AQ:$AQ,$C343,BV_Data_An_Prec!$AR:$AR,$L$2)</f>
        <v>0</v>
      </c>
      <c r="R343" s="243"/>
      <c r="S343" s="266">
        <f t="shared" si="54"/>
        <v>4918.9999999999991</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433.52999999999884</v>
      </c>
      <c r="M344" s="243"/>
      <c r="N344" s="266">
        <f t="shared" si="53"/>
        <v>433.52999999999884</v>
      </c>
      <c r="O344" s="243"/>
      <c r="P344" s="38"/>
      <c r="Q344" s="266">
        <f>SUMIFS(BV_Data_An_Prec!$AM:$AM,BV_Data_An_Prec!$AP:$AP,$B344,BV_Data_An_Prec!$AQ:$AQ,$C344,BV_Data_An_Prec!$AR:$AR,$L$2)</f>
        <v>0</v>
      </c>
      <c r="R344" s="243"/>
      <c r="S344" s="266">
        <f t="shared" si="54"/>
        <v>433.52999999999884</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-6937.09</v>
      </c>
      <c r="M345" s="238"/>
      <c r="N345" s="286">
        <f t="shared" si="53"/>
        <v>-6937.09</v>
      </c>
      <c r="O345" s="238"/>
      <c r="P345" s="304"/>
      <c r="Q345" s="266">
        <f>SUMIFS(BV_Data_An_Prec!$AM:$AM,BV_Data_An_Prec!$AP:$AP,$B345,BV_Data_An_Prec!$AQ:$AQ,$C345,BV_Data_An_Prec!$AR:$AR,$L$2)</f>
        <v>0</v>
      </c>
      <c r="R345" s="238"/>
      <c r="S345" s="286">
        <f t="shared" si="54"/>
        <v>-6937.09</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2679.1499999999978</v>
      </c>
      <c r="M346" s="243"/>
      <c r="N346" s="266">
        <f t="shared" si="53"/>
        <v>2679.1499999999978</v>
      </c>
      <c r="O346" s="243"/>
      <c r="P346" s="38"/>
      <c r="Q346" s="303">
        <f>SUMIFS(BV_Data_An_Prec!$AM:$AM,BV_Data_An_Prec!$AP:$AP,$B346,BV_Data_An_Prec!$AQ:$AQ,$C346,BV_Data_An_Prec!$AR:$AR,$L$2)</f>
        <v>0</v>
      </c>
      <c r="R346" s="243"/>
      <c r="S346" s="266">
        <f t="shared" si="54"/>
        <v>2679.1499999999978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-1607.5000000000018</v>
      </c>
      <c r="M347" s="243"/>
      <c r="N347" s="266">
        <f t="shared" si="53"/>
        <v>-1607.5000000000018</v>
      </c>
      <c r="O347" s="243"/>
      <c r="P347" s="38"/>
      <c r="Q347" s="266">
        <f>SUMIFS(BV_Data_An_Prec!$AM:$AM,BV_Data_An_Prec!$AP:$AP,$B347,BV_Data_An_Prec!$AQ:$AQ,$C347,BV_Data_An_Prec!$AR:$AR,$L$2)</f>
        <v>0</v>
      </c>
      <c r="R347" s="243"/>
      <c r="S347" s="266">
        <f t="shared" si="54"/>
        <v>-1607.5000000000018</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3339.3300000000017</v>
      </c>
      <c r="M348" s="238"/>
      <c r="N348" s="286">
        <f t="shared" si="53"/>
        <v>3339.3300000000017</v>
      </c>
      <c r="O348" s="238"/>
      <c r="P348" s="304"/>
      <c r="Q348" s="266">
        <f>SUMIFS(BV_Data_An_Prec!$AM:$AM,BV_Data_An_Prec!$AP:$AP,$B348,BV_Data_An_Prec!$AQ:$AQ,$C348,BV_Data_An_Prec!$AR:$AR,$L$2)</f>
        <v>0</v>
      </c>
      <c r="R348" s="238"/>
      <c r="S348" s="286">
        <f t="shared" si="54"/>
        <v>3339.3300000000017</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437.40000000000055</v>
      </c>
      <c r="M352" s="243"/>
      <c r="N352" s="266">
        <f t="shared" si="53"/>
        <v>437.40000000000055</v>
      </c>
      <c r="O352" s="243"/>
      <c r="P352" s="38"/>
      <c r="Q352" s="266">
        <f>SUMIFS(BV_Data_An_Prec!$AM:$AM,BV_Data_An_Prec!$AP:$AP,$B352,BV_Data_An_Prec!$AQ:$AQ,$C352,BV_Data_An_Prec!$AR:$AR,$L$2)</f>
        <v>0</v>
      </c>
      <c r="R352" s="243"/>
      <c r="S352" s="266">
        <f t="shared" si="54"/>
        <v>437.40000000000055</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104.09999999999991</v>
      </c>
      <c r="M353" s="243"/>
      <c r="N353" s="266">
        <f t="shared" si="53"/>
        <v>104.09999999999991</v>
      </c>
      <c r="O353" s="243"/>
      <c r="P353" s="38"/>
      <c r="Q353" s="266">
        <f>SUMIFS(BV_Data_An_Prec!$AM:$AM,BV_Data_An_Prec!$AP:$AP,$B353,BV_Data_An_Prec!$AQ:$AQ,$C353,BV_Data_An_Prec!$AR:$AR,$L$2)</f>
        <v>0</v>
      </c>
      <c r="R353" s="243"/>
      <c r="S353" s="266">
        <f t="shared" si="54"/>
        <v>104.09999999999991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246.98000000000002</v>
      </c>
      <c r="M354" s="243"/>
      <c r="N354" s="266">
        <f t="shared" si="53"/>
        <v>246.98000000000002</v>
      </c>
      <c r="O354" s="243"/>
      <c r="P354" s="38"/>
      <c r="Q354" s="266">
        <f>SUMIFS(BV_Data_An_Prec!$AM:$AM,BV_Data_An_Prec!$AP:$AP,$B354,BV_Data_An_Prec!$AQ:$AQ,$C354,BV_Data_An_Prec!$AR:$AR,$L$2)</f>
        <v>0</v>
      </c>
      <c r="R354" s="243"/>
      <c r="S354" s="266">
        <f t="shared" si="54"/>
        <v>246.98000000000002</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1256.0200000000023</v>
      </c>
      <c r="M355" s="243"/>
      <c r="N355" s="266">
        <f t="shared" si="53"/>
        <v>1256.0200000000023</v>
      </c>
      <c r="O355" s="243"/>
      <c r="P355" s="38"/>
      <c r="Q355" s="266">
        <f>SUMIFS(BV_Data_An_Prec!$AM:$AM,BV_Data_An_Prec!$AP:$AP,$B355,BV_Data_An_Prec!$AQ:$AQ,$C355,BV_Data_An_Prec!$AR:$AR,$L$2)</f>
        <v>0</v>
      </c>
      <c r="R355" s="243"/>
      <c r="S355" s="266">
        <f t="shared" si="54"/>
        <v>1256.0200000000023</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553.91000000000008</v>
      </c>
      <c r="M357" s="243"/>
      <c r="N357" s="266">
        <f t="shared" si="53"/>
        <v>553.91000000000008</v>
      </c>
      <c r="O357" s="243"/>
      <c r="P357" s="38"/>
      <c r="Q357" s="266">
        <f>SUMIFS(BV_Data_An_Prec!$AM:$AM,BV_Data_An_Prec!$AP:$AP,$B357,BV_Data_An_Prec!$AQ:$AQ,$C357,BV_Data_An_Prec!$AR:$AR,$L$2)</f>
        <v>0</v>
      </c>
      <c r="R357" s="243"/>
      <c r="S357" s="266">
        <f t="shared" si="54"/>
        <v>553.91000000000008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3147</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2.2511536227072964</v>
      </c>
      <c r="L361" s="294">
        <f>+SUM(L343:L360)</f>
        <v>5424.8299999999981</v>
      </c>
      <c r="M361" s="296"/>
      <c r="N361" s="294">
        <f>+SUM(N343:N360)</f>
        <v>5424.8299999999981</v>
      </c>
      <c r="O361" s="295" t="s">
        <v>115</v>
      </c>
      <c r="P361" s="293" t="e">
        <f>Q361/Q$326</f>
        <v>#DIV/0!</v>
      </c>
      <c r="Q361" s="294">
        <f>+SUM(Q343:Q360)</f>
        <v>0</v>
      </c>
      <c r="R361" s="297"/>
      <c r="S361" s="294">
        <f t="shared" si="54"/>
        <v>5424.8299999999981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18.50103743049231</v>
      </c>
      <c r="L363" s="294">
        <f>L342+L361</f>
        <v>44583.8</v>
      </c>
      <c r="M363" s="296"/>
      <c r="N363" s="294">
        <f>L363-F363</f>
        <v>44583.8</v>
      </c>
      <c r="O363" s="295" t="s">
        <v>115</v>
      </c>
      <c r="P363" s="293" t="e">
        <f>Q363/Q$326</f>
        <v>#DIV/0!</v>
      </c>
      <c r="Q363" s="294">
        <f>Q342+Q361</f>
        <v>0</v>
      </c>
      <c r="R363" s="297"/>
      <c r="S363" s="294">
        <f>L363-Q363</f>
        <v>44583.8</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-42174.000000000022</v>
      </c>
      <c r="M365" s="960"/>
      <c r="N365" s="958">
        <f>L365-F365</f>
        <v>-42174.000000000022</v>
      </c>
      <c r="O365" s="959"/>
      <c r="P365" s="957"/>
      <c r="Q365" s="958">
        <f>Q326-Q363</f>
        <v>0</v>
      </c>
      <c r="R365" s="961"/>
      <c r="S365" s="958">
        <f>L365-Q365</f>
        <v>-42174.000000000022</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Décembre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7" t="s">
        <v>339</v>
      </c>
      <c r="E369" s="1072"/>
      <c r="F369" s="1073"/>
      <c r="G369" s="1074"/>
      <c r="H369" s="1072"/>
      <c r="I369" s="1073"/>
      <c r="J369" s="1074" t="s">
        <v>340</v>
      </c>
      <c r="K369" s="1072"/>
      <c r="L369" s="1073"/>
      <c r="M369" s="1074" t="s">
        <v>668</v>
      </c>
      <c r="N369" s="1073"/>
      <c r="O369" s="1067" t="s">
        <v>341</v>
      </c>
      <c r="P369" s="1072"/>
      <c r="Q369" s="1073"/>
      <c r="R369" s="1066" t="s">
        <v>670</v>
      </c>
      <c r="S369" s="1075"/>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66753.260000000009</v>
      </c>
      <c r="K371" s="327">
        <f t="shared" ref="K371:K380" si="55">IF(J371&lt;=0,0,L371/J371)</f>
        <v>0.32436033835650846</v>
      </c>
      <c r="L371" s="266">
        <f>-SUMIFS(BV_Data_An_Cour!$AM:$AM,BV_Data_An_Cour!$AP:$AP,$B371,BV_Data_An_Cour!$AQ:$AQ,$C371,BV_Data_An_Cour!$AR:$AR,$L$2)</f>
        <v>21652.109999999986</v>
      </c>
      <c r="M371" s="282" t="e">
        <f t="shared" ref="M371:M377" si="56">(+J371-D371)/D371</f>
        <v>#DIV/0!</v>
      </c>
      <c r="N371" s="266">
        <f t="shared" ref="N371:N380" si="57">L371-F371</f>
        <v>21652.109999999986</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21652.109999999986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32778.910000000033</v>
      </c>
      <c r="K373" s="327">
        <f t="shared" si="55"/>
        <v>0.28806571054376212</v>
      </c>
      <c r="L373" s="266">
        <f>-SUMIFS(BV_Data_An_Cour!$AM:$AM,BV_Data_An_Cour!$AP:$AP,$B373,BV_Data_An_Cour!$AQ:$AQ,$C373,BV_Data_An_Cour!$AR:$AR,$L$2)</f>
        <v>9442.4800000000396</v>
      </c>
      <c r="M373" s="282" t="e">
        <f t="shared" si="56"/>
        <v>#DIV/0!</v>
      </c>
      <c r="N373" s="266">
        <f t="shared" si="57"/>
        <v>9442.4800000000396</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9442.4800000000396</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43035.819999999949</v>
      </c>
      <c r="K374" s="327">
        <f t="shared" si="55"/>
        <v>0.31815961680293225</v>
      </c>
      <c r="L374" s="266">
        <f>-SUMIFS(BV_Data_An_Cour!$AM:$AM,BV_Data_An_Cour!$AP:$AP,$B374,BV_Data_An_Cour!$AQ:$AQ,$C374,BV_Data_An_Cour!$AR:$AR,$L$2)</f>
        <v>13692.259999999951</v>
      </c>
      <c r="M374" s="282" t="e">
        <f t="shared" si="56"/>
        <v>#DIV/0!</v>
      </c>
      <c r="N374" s="266">
        <f t="shared" si="57"/>
        <v>13692.259999999951</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13692.259999999951</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22987.739999999991</v>
      </c>
      <c r="K375" s="327">
        <f t="shared" si="55"/>
        <v>0.23920707298759949</v>
      </c>
      <c r="L375" s="266">
        <f>-SUMIFS(BV_Data_An_Cour!$AM:$AM,BV_Data_An_Cour!$AP:$AP,$B375,BV_Data_An_Cour!$AQ:$AQ,$C375,BV_Data_An_Cour!$AR:$AR,$L$2)</f>
        <v>5498.8299999999581</v>
      </c>
      <c r="M375" s="282" t="e">
        <f t="shared" si="56"/>
        <v>#DIV/0!</v>
      </c>
      <c r="N375" s="266">
        <f t="shared" si="57"/>
        <v>5498.8299999999581</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5498.8299999999581</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123480.30000000005</v>
      </c>
      <c r="K376" s="327">
        <f t="shared" si="55"/>
        <v>0.1601036764568915</v>
      </c>
      <c r="L376" s="266">
        <f>-SUMIFS(BV_Data_An_Cour!$AM:$AM,BV_Data_An_Cour!$AP:$AP,$B376,BV_Data_An_Cour!$AQ:$AQ,$C376,BV_Data_An_Cour!$AR:$AR,$L$2)</f>
        <v>19769.649999999907</v>
      </c>
      <c r="M376" s="282" t="e">
        <f t="shared" si="56"/>
        <v>#DIV/0!</v>
      </c>
      <c r="N376" s="266">
        <f t="shared" si="57"/>
        <v>19769.649999999907</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19769.649999999907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54215.62000000001</v>
      </c>
      <c r="M378" s="282"/>
      <c r="N378" s="266">
        <f t="shared" si="57"/>
        <v>54215.62000000001</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54215.62000000001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165475.41</v>
      </c>
      <c r="M379" s="282"/>
      <c r="N379" s="266">
        <f t="shared" si="57"/>
        <v>165475.41</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165475.41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289036.03000000003</v>
      </c>
      <c r="K380" s="370">
        <f t="shared" si="55"/>
        <v>1.0024575828833513</v>
      </c>
      <c r="L380" s="356">
        <f>SUM(L371:L379)</f>
        <v>289746.35999999987</v>
      </c>
      <c r="M380" s="371" t="e">
        <f>(+J380-D380)/D380</f>
        <v>#DIV/0!</v>
      </c>
      <c r="N380" s="356">
        <f t="shared" si="57"/>
        <v>289746.35999999987</v>
      </c>
      <c r="O380" s="355">
        <f t="shared" ref="O380" si="63">SUM(O371:O379)</f>
        <v>0</v>
      </c>
      <c r="P380" s="370">
        <f t="shared" si="58"/>
        <v>0</v>
      </c>
      <c r="Q380" s="356">
        <f>SUM(Q371:Q379)</f>
        <v>0</v>
      </c>
      <c r="R380" s="371">
        <f t="shared" si="59"/>
        <v>0</v>
      </c>
      <c r="S380" s="356">
        <f t="shared" si="60"/>
        <v>289746.35999999987</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51352.289999999979</v>
      </c>
      <c r="K383" s="327">
        <f t="shared" ref="K383:K385" si="64">IF(J383&lt;=0,0,L383/J383)</f>
        <v>0.12995194566785609</v>
      </c>
      <c r="L383" s="303">
        <f>-SUMIFS(BV_Data_An_Cour!$AM:$AM,BV_Data_An_Cour!$AP:$AP,$B383,BV_Data_An_Cour!$AQ:$AQ,$C383,BV_Data_An_Cour!$AR:$AR,$L$2)</f>
        <v>6673.3299999999872</v>
      </c>
      <c r="M383" s="282" t="e">
        <f>(+J383-D383)/D383</f>
        <v>#DIV/0!</v>
      </c>
      <c r="N383" s="266">
        <f>L383-F383</f>
        <v>6673.3299999999872</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6673.3299999999872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11232.850000000006</v>
      </c>
      <c r="K384" s="327">
        <f t="shared" si="64"/>
        <v>0.29705640153656521</v>
      </c>
      <c r="L384" s="286">
        <f>-SUMIFS(BV_Data_An_Cour!$AM:$AM,BV_Data_An_Cour!$AP:$AP,$B384,BV_Data_An_Cour!$AQ:$AQ,$C384,BV_Data_An_Cour!$AR:$AR,$L$2)</f>
        <v>3336.7900000000081</v>
      </c>
      <c r="M384" s="282" t="e">
        <f>(+J384-D384)/D384</f>
        <v>#DIV/0!</v>
      </c>
      <c r="N384" s="266">
        <f>L384-F384</f>
        <v>3336.7900000000081</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3336.7900000000081</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351621.17000000004</v>
      </c>
      <c r="K385" s="370">
        <f t="shared" si="64"/>
        <v>0.85249838626041718</v>
      </c>
      <c r="L385" s="356">
        <f>L380+L383+L384</f>
        <v>299756.47999999986</v>
      </c>
      <c r="M385" s="371" t="e">
        <f>(+J385-D385)/D385</f>
        <v>#DIV/0!</v>
      </c>
      <c r="N385" s="356">
        <f>L385-F385</f>
        <v>299756.47999999986</v>
      </c>
      <c r="O385" s="357">
        <f t="shared" ref="O385" si="69">O380+O383+O384</f>
        <v>0</v>
      </c>
      <c r="P385" s="370">
        <f t="shared" si="65"/>
        <v>0</v>
      </c>
      <c r="Q385" s="356">
        <f>Q380+Q383+Q384</f>
        <v>0</v>
      </c>
      <c r="R385" s="371">
        <f t="shared" si="66"/>
        <v>0</v>
      </c>
      <c r="S385" s="356">
        <f t="shared" si="67"/>
        <v>299756.47999999986</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351621.17000000004</v>
      </c>
      <c r="K390" s="373">
        <f>IF(J390&lt;=0,0,L390/J390)</f>
        <v>0.85249838626041718</v>
      </c>
      <c r="L390" s="271">
        <f>L385+L388</f>
        <v>299756.47999999986</v>
      </c>
      <c r="M390" s="272" t="e">
        <f>(+J390-D390)/D390</f>
        <v>#DIV/0!</v>
      </c>
      <c r="N390" s="271">
        <f>L390-F390</f>
        <v>299756.47999999986</v>
      </c>
      <c r="O390" s="272">
        <f t="shared" ref="O390" si="70">O385+O388</f>
        <v>0</v>
      </c>
      <c r="P390" s="373">
        <f>IF(O390&lt;=0,0,Q390/O390)</f>
        <v>0</v>
      </c>
      <c r="Q390" s="271">
        <f>Q385+Q388</f>
        <v>0</v>
      </c>
      <c r="R390" s="363">
        <f>IF(O390=0,0,(J390-O390)/O390)</f>
        <v>0</v>
      </c>
      <c r="S390" s="271">
        <f>L390-Q390</f>
        <v>299756.47999999986</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2692.5699999999997</v>
      </c>
      <c r="M394" s="243"/>
      <c r="N394" s="246">
        <f t="shared" ref="N394:N424" si="71">L394-F394</f>
        <v>2692.5699999999997</v>
      </c>
      <c r="O394" s="243"/>
      <c r="P394" s="38"/>
      <c r="Q394" s="266">
        <f>SUMIFS(BV_Data_An_Prec!$AM:$AM,BV_Data_An_Prec!$AP:$AP,$B394,BV_Data_An_Prec!$AQ:$AQ,$C394,BV_Data_An_Prec!$AR:$AR,$L$2)</f>
        <v>0</v>
      </c>
      <c r="R394" s="243"/>
      <c r="S394" s="266">
        <f t="shared" ref="S394:S424" si="72">L394-Q394</f>
        <v>2692.5699999999997</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2366.2599999999984</v>
      </c>
      <c r="M395" s="243"/>
      <c r="N395" s="246">
        <f t="shared" si="71"/>
        <v>2366.2599999999984</v>
      </c>
      <c r="O395" s="243"/>
      <c r="P395" s="38"/>
      <c r="Q395" s="266">
        <f>SUMIFS(BV_Data_An_Prec!$AM:$AM,BV_Data_An_Prec!$AP:$AP,$B395,BV_Data_An_Prec!$AQ:$AQ,$C395,BV_Data_An_Prec!$AR:$AR,$L$2)</f>
        <v>0</v>
      </c>
      <c r="R395" s="243"/>
      <c r="S395" s="266">
        <f t="shared" si="72"/>
        <v>2366.2599999999984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19204.729999999981</v>
      </c>
      <c r="M396" s="233"/>
      <c r="N396" s="262">
        <f t="shared" si="71"/>
        <v>19204.729999999981</v>
      </c>
      <c r="O396" s="233"/>
      <c r="P396" s="301"/>
      <c r="Q396" s="303">
        <f>SUMIFS(BV_Data_An_Prec!$AM:$AM,BV_Data_An_Prec!$AP:$AP,$B396,BV_Data_An_Prec!$AQ:$AQ,$C396,BV_Data_An_Prec!$AR:$AR,$L$2)</f>
        <v>0</v>
      </c>
      <c r="R396" s="233"/>
      <c r="S396" s="303">
        <f t="shared" si="72"/>
        <v>19204.729999999981</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2229.4200000000019</v>
      </c>
      <c r="M401" s="243"/>
      <c r="N401" s="246">
        <f t="shared" si="71"/>
        <v>2229.4200000000019</v>
      </c>
      <c r="O401" s="243"/>
      <c r="P401" s="38"/>
      <c r="Q401" s="266">
        <f>SUMIFS(BV_Data_An_Prec!$AM:$AM,BV_Data_An_Prec!$AP:$AP,$B401,BV_Data_An_Prec!$AQ:$AQ,$C401,BV_Data_An_Prec!$AR:$AR,$L$2)</f>
        <v>0</v>
      </c>
      <c r="R401" s="243"/>
      <c r="S401" s="266">
        <f t="shared" si="72"/>
        <v>2229.4200000000019</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3208.5</v>
      </c>
      <c r="M402" s="233"/>
      <c r="N402" s="262">
        <f t="shared" si="71"/>
        <v>3208.5</v>
      </c>
      <c r="O402" s="233"/>
      <c r="P402" s="301"/>
      <c r="Q402" s="303">
        <f>SUMIFS(BV_Data_An_Prec!$AM:$AM,BV_Data_An_Prec!$AP:$AP,$B402,BV_Data_An_Prec!$AQ:$AQ,$C402,BV_Data_An_Prec!$AR:$AR,$L$2)</f>
        <v>0</v>
      </c>
      <c r="R402" s="233"/>
      <c r="S402" s="303">
        <f t="shared" si="72"/>
        <v>3208.5</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8818.6699999999983</v>
      </c>
      <c r="M403" s="243"/>
      <c r="N403" s="246">
        <f t="shared" si="71"/>
        <v>8818.6699999999983</v>
      </c>
      <c r="O403" s="243"/>
      <c r="P403" s="38"/>
      <c r="Q403" s="266">
        <f>SUMIFS(BV_Data_An_Prec!$AM:$AM,BV_Data_An_Prec!$AP:$AP,$B403,BV_Data_An_Prec!$AQ:$AQ,$C403,BV_Data_An_Prec!$AR:$AR,$L$2)</f>
        <v>0</v>
      </c>
      <c r="R403" s="243"/>
      <c r="S403" s="266">
        <f t="shared" si="72"/>
        <v>8818.6699999999983</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-2471.5300000000002</v>
      </c>
      <c r="M404" s="243"/>
      <c r="N404" s="246">
        <f t="shared" si="71"/>
        <v>-2471.5300000000002</v>
      </c>
      <c r="O404" s="243"/>
      <c r="P404" s="38"/>
      <c r="Q404" s="266">
        <f>SUMIFS(BV_Data_An_Prec!$AM:$AM,BV_Data_An_Prec!$AP:$AP,$B404,BV_Data_An_Prec!$AQ:$AQ,$C404,BV_Data_An_Prec!$AR:$AR,$L$2)</f>
        <v>0</v>
      </c>
      <c r="R404" s="243"/>
      <c r="S404" s="266">
        <f t="shared" si="72"/>
        <v>-2471.5300000000002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0.12025968546201235</v>
      </c>
      <c r="L406" s="294">
        <f>+SUM(L394:L405)</f>
        <v>36048.619999999981</v>
      </c>
      <c r="M406" s="296"/>
      <c r="N406" s="294">
        <f t="shared" si="71"/>
        <v>36048.619999999981</v>
      </c>
      <c r="O406" s="295" t="s">
        <v>115</v>
      </c>
      <c r="P406" s="293" t="e">
        <f>Q406/Q$390</f>
        <v>#DIV/0!</v>
      </c>
      <c r="Q406" s="294">
        <f>+SUM(Q394:Q405)</f>
        <v>0</v>
      </c>
      <c r="R406" s="297"/>
      <c r="S406" s="294">
        <f t="shared" si="72"/>
        <v>36048.619999999981</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3029.3899999999985</v>
      </c>
      <c r="M407" s="243"/>
      <c r="N407" s="266">
        <f t="shared" si="71"/>
        <v>3029.3899999999985</v>
      </c>
      <c r="O407" s="243"/>
      <c r="P407" s="38"/>
      <c r="Q407" s="266">
        <f>SUMIFS(BV_Data_An_Prec!$AM:$AM,BV_Data_An_Prec!$AP:$AP,$B407,BV_Data_An_Prec!$AQ:$AQ,$C407,BV_Data_An_Prec!$AR:$AR,$L$2)</f>
        <v>0</v>
      </c>
      <c r="R407" s="243"/>
      <c r="S407" s="266">
        <f t="shared" si="72"/>
        <v>3029.3899999999985</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1444.3499999999985</v>
      </c>
      <c r="M409" s="238"/>
      <c r="N409" s="286">
        <f t="shared" si="71"/>
        <v>1444.3499999999985</v>
      </c>
      <c r="O409" s="238"/>
      <c r="P409" s="304"/>
      <c r="Q409" s="286">
        <f>SUMIFS(BV_Data_An_Prec!$AM:$AM,BV_Data_An_Prec!$AP:$AP,$B409,BV_Data_An_Prec!$AQ:$AQ,$C409,BV_Data_An_Prec!$AR:$AR,$L$2)</f>
        <v>0</v>
      </c>
      <c r="R409" s="238"/>
      <c r="S409" s="286">
        <f t="shared" si="72"/>
        <v>1444.3499999999985</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2216</v>
      </c>
      <c r="M410" s="243"/>
      <c r="N410" s="266">
        <f t="shared" si="71"/>
        <v>2216</v>
      </c>
      <c r="O410" s="243"/>
      <c r="P410" s="38"/>
      <c r="Q410" s="266">
        <f>SUMIFS(BV_Data_An_Prec!$AM:$AM,BV_Data_An_Prec!$AP:$AP,$B410,BV_Data_An_Prec!$AQ:$AQ,$C410,BV_Data_An_Prec!$AR:$AR,$L$2)</f>
        <v>0</v>
      </c>
      <c r="R410" s="243"/>
      <c r="S410" s="266">
        <f t="shared" si="72"/>
        <v>2216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-1607.4700000000012</v>
      </c>
      <c r="M411" s="243"/>
      <c r="N411" s="266">
        <f t="shared" si="71"/>
        <v>-1607.4700000000012</v>
      </c>
      <c r="O411" s="243"/>
      <c r="P411" s="38"/>
      <c r="Q411" s="266">
        <f>SUMIFS(BV_Data_An_Prec!$AM:$AM,BV_Data_An_Prec!$AP:$AP,$B411,BV_Data_An_Prec!$AQ:$AQ,$C411,BV_Data_An_Prec!$AR:$AR,$L$2)</f>
        <v>0</v>
      </c>
      <c r="R411" s="243"/>
      <c r="S411" s="266">
        <f t="shared" si="72"/>
        <v>-1607.4700000000012</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1752.6599999999962</v>
      </c>
      <c r="M412" s="238"/>
      <c r="N412" s="286">
        <f t="shared" si="71"/>
        <v>1752.6599999999962</v>
      </c>
      <c r="O412" s="238"/>
      <c r="P412" s="304"/>
      <c r="Q412" s="286">
        <f>SUMIFS(BV_Data_An_Prec!$AM:$AM,BV_Data_An_Prec!$AP:$AP,$B412,BV_Data_An_Prec!$AQ:$AQ,$C412,BV_Data_An_Prec!$AR:$AR,$L$2)</f>
        <v>0</v>
      </c>
      <c r="R412" s="238"/>
      <c r="S412" s="286">
        <f t="shared" si="72"/>
        <v>1752.6599999999962</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14.070000000000164</v>
      </c>
      <c r="M414" s="243"/>
      <c r="N414" s="266">
        <f t="shared" si="71"/>
        <v>14.070000000000164</v>
      </c>
      <c r="O414" s="243"/>
      <c r="P414" s="38"/>
      <c r="Q414" s="266">
        <f>SUMIFS(BV_Data_An_Prec!$AM:$AM,BV_Data_An_Prec!$AP:$AP,$B414,BV_Data_An_Prec!$AQ:$AQ,$C414,BV_Data_An_Prec!$AR:$AR,$L$2)</f>
        <v>0</v>
      </c>
      <c r="R414" s="243"/>
      <c r="S414" s="266">
        <f t="shared" si="72"/>
        <v>14.070000000000164</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511.81999999999971</v>
      </c>
      <c r="M416" s="243"/>
      <c r="N416" s="266">
        <f t="shared" si="71"/>
        <v>511.81999999999971</v>
      </c>
      <c r="O416" s="243"/>
      <c r="P416" s="38"/>
      <c r="Q416" s="266">
        <f>SUMIFS(BV_Data_An_Prec!$AM:$AM,BV_Data_An_Prec!$AP:$AP,$B416,BV_Data_An_Prec!$AQ:$AQ,$C416,BV_Data_An_Prec!$AR:$AR,$L$2)</f>
        <v>0</v>
      </c>
      <c r="R416" s="243"/>
      <c r="S416" s="266">
        <f t="shared" si="72"/>
        <v>511.81999999999971</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104.15999999999985</v>
      </c>
      <c r="M417" s="243"/>
      <c r="N417" s="266">
        <f t="shared" si="71"/>
        <v>104.15999999999985</v>
      </c>
      <c r="O417" s="243"/>
      <c r="P417" s="38"/>
      <c r="Q417" s="266">
        <f>SUMIFS(BV_Data_An_Prec!$AM:$AM,BV_Data_An_Prec!$AP:$AP,$B417,BV_Data_An_Prec!$AQ:$AQ,$C417,BV_Data_An_Prec!$AR:$AR,$L$2)</f>
        <v>0</v>
      </c>
      <c r="R417" s="243"/>
      <c r="S417" s="266">
        <f t="shared" si="72"/>
        <v>104.15999999999985</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621.05000000000018</v>
      </c>
      <c r="M418" s="243"/>
      <c r="N418" s="266">
        <f t="shared" si="71"/>
        <v>621.05000000000018</v>
      </c>
      <c r="O418" s="243"/>
      <c r="P418" s="38"/>
      <c r="Q418" s="266">
        <f>SUMIFS(BV_Data_An_Prec!$AM:$AM,BV_Data_An_Prec!$AP:$AP,$B418,BV_Data_An_Prec!$AQ:$AQ,$C418,BV_Data_An_Prec!$AR:$AR,$L$2)</f>
        <v>0</v>
      </c>
      <c r="R418" s="243"/>
      <c r="S418" s="266">
        <f t="shared" si="72"/>
        <v>621.05000000000018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2023.6500000000005</v>
      </c>
      <c r="M419" s="243"/>
      <c r="N419" s="266">
        <f t="shared" si="71"/>
        <v>2023.6500000000005</v>
      </c>
      <c r="O419" s="243"/>
      <c r="P419" s="38"/>
      <c r="Q419" s="266">
        <f>SUMIFS(BV_Data_An_Prec!$AM:$AM,BV_Data_An_Prec!$AP:$AP,$B419,BV_Data_An_Prec!$AQ:$AQ,$C419,BV_Data_An_Prec!$AR:$AR,$L$2)</f>
        <v>0</v>
      </c>
      <c r="R419" s="243"/>
      <c r="S419" s="266">
        <f t="shared" si="72"/>
        <v>2023.6500000000005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553.86999999999989</v>
      </c>
      <c r="M421" s="243"/>
      <c r="N421" s="266">
        <f t="shared" si="71"/>
        <v>553.86999999999989</v>
      </c>
      <c r="O421" s="243"/>
      <c r="P421" s="38"/>
      <c r="Q421" s="266">
        <f>SUMIFS(BV_Data_An_Prec!$AM:$AM,BV_Data_An_Prec!$AP:$AP,$B421,BV_Data_An_Prec!$AQ:$AQ,$C421,BV_Data_An_Prec!$AR:$AR,$L$2)</f>
        <v>0</v>
      </c>
      <c r="R421" s="243"/>
      <c r="S421" s="266">
        <f t="shared" si="72"/>
        <v>553.86999999999989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3.5574043303417485E-2</v>
      </c>
      <c r="L425" s="294">
        <f>+SUM(L407:L424)</f>
        <v>10663.549999999992</v>
      </c>
      <c r="M425" s="296"/>
      <c r="N425" s="294">
        <f>+SUM(N407:N424)</f>
        <v>10663.549999999992</v>
      </c>
      <c r="O425" s="295" t="s">
        <v>115</v>
      </c>
      <c r="P425" s="293" t="e">
        <f>Q425/Q$390</f>
        <v>#DIV/0!</v>
      </c>
      <c r="Q425" s="294">
        <f>+SUM(Q407:Q424)</f>
        <v>0</v>
      </c>
      <c r="R425" s="297"/>
      <c r="S425" s="294">
        <f>+SUM(S407:S424)</f>
        <v>10663.549999999992</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0.15583372876542984</v>
      </c>
      <c r="L427" s="294">
        <f>L406+L425</f>
        <v>46712.169999999969</v>
      </c>
      <c r="M427" s="296"/>
      <c r="N427" s="294">
        <f>L427-F427</f>
        <v>46712.169999999969</v>
      </c>
      <c r="O427" s="295" t="s">
        <v>115</v>
      </c>
      <c r="P427" s="293" t="e">
        <f>Q427/Q$390</f>
        <v>#DIV/0!</v>
      </c>
      <c r="Q427" s="294">
        <f>Q406+Q425</f>
        <v>0</v>
      </c>
      <c r="R427" s="297"/>
      <c r="S427" s="294">
        <f>L427-Q427</f>
        <v>46712.169999999969</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253044.30999999988</v>
      </c>
      <c r="M429" s="960"/>
      <c r="N429" s="958">
        <f>L429-F429</f>
        <v>253044.30999999988</v>
      </c>
      <c r="O429" s="959"/>
      <c r="P429" s="957"/>
      <c r="Q429" s="958">
        <f>Q390-Q427</f>
        <v>0</v>
      </c>
      <c r="R429" s="961"/>
      <c r="S429" s="958">
        <f>L429-Q429</f>
        <v>253044.30999999988</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1161</v>
      </c>
      <c r="L432" s="911"/>
      <c r="M432" s="911"/>
      <c r="N432" s="915"/>
      <c r="O432" s="653"/>
      <c r="P432" s="654"/>
      <c r="Q432" s="653"/>
      <c r="R432" s="654"/>
      <c r="S432" s="655" t="str">
        <f>$S$1</f>
        <v>Réalisé, Décembre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7" t="s">
        <v>339</v>
      </c>
      <c r="E434" s="1072"/>
      <c r="F434" s="1073"/>
      <c r="G434" s="1074"/>
      <c r="H434" s="1072"/>
      <c r="I434" s="1073"/>
      <c r="J434" s="1074" t="s">
        <v>340</v>
      </c>
      <c r="K434" s="1072"/>
      <c r="L434" s="1073"/>
      <c r="M434" s="1074"/>
      <c r="N434" s="1073"/>
      <c r="O434" s="1067" t="s">
        <v>341</v>
      </c>
      <c r="P434" s="1072"/>
      <c r="Q434" s="1073"/>
      <c r="R434" s="1074" t="s">
        <v>342</v>
      </c>
      <c r="S434" s="1073"/>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1161</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1161</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1161</v>
      </c>
      <c r="C437" s="681" t="s">
        <v>1169</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1161</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1161</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1161</v>
      </c>
      <c r="C440" s="926" t="s">
        <v>1170</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408</v>
      </c>
      <c r="K440" s="336">
        <f>-SUMIFS(BV_Data_An_Cour!$AM:$AM,BV_Data_An_Cour!$AS:$AS,"Oui",BV_Data_An_Cour!$AP:$AP,$B440,BV_Data_An_Cour!$AQ:$AQ,$C440)</f>
        <v>67452.45000000007</v>
      </c>
      <c r="L440" s="303">
        <f>-SUMIFS(BV_Data_An_Cour!$AM:$AM,BV_Data_An_Cour!$AP:$AP,$B440,BV_Data_An_Cour!$AQ:$AQ,$C440,BV_Data_An_Cour!$AR:$AR,$L$2)</f>
        <v>49988.18000000008</v>
      </c>
      <c r="M440" s="340">
        <f>IFERROR((K440-E440)/E440,0)</f>
        <v>0</v>
      </c>
      <c r="N440" s="303">
        <f>L440-F440</f>
        <v>49988.18000000008</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49988.18000000008</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1161</v>
      </c>
      <c r="C441" s="243" t="s">
        <v>161</v>
      </c>
      <c r="D441" s="38"/>
      <c r="E441" s="325"/>
      <c r="F441" s="332">
        <f>IFERROR(F440/E440,0)</f>
        <v>0</v>
      </c>
      <c r="G441" s="243"/>
      <c r="H441" s="325"/>
      <c r="I441" s="332"/>
      <c r="J441" s="267"/>
      <c r="K441" s="38"/>
      <c r="L441" s="332">
        <f>IFERROR(L440/K440,0)</f>
        <v>0.74108768473198572</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1161</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1161</v>
      </c>
      <c r="C443" s="926" t="s">
        <v>1168</v>
      </c>
      <c r="D443" s="336">
        <v>0</v>
      </c>
      <c r="E443" s="281">
        <v>0</v>
      </c>
      <c r="F443" s="281">
        <v>0</v>
      </c>
      <c r="G443" s="337"/>
      <c r="H443" s="281"/>
      <c r="I443" s="281"/>
      <c r="J443" s="337">
        <f>SUMIFS(BV_Data_An_Cour!$AW:$AW,BV_Data_An_Cour!$AP:$AP,$B443,BV_Data_An_Cour!$AQ:$AQ,$C443,BV_Data_An_Cour!$AY:$AY,J$2)</f>
        <v>3</v>
      </c>
      <c r="K443" s="281">
        <f>-SUMIFS(BV_Data_An_Cour!$AM:$AM,BV_Data_An_Cour!$AS:$AS,"Oui",BV_Data_An_Cour!$AP:$AP,$B443,BV_Data_An_Cour!$AQ:$AQ,$C443)</f>
        <v>335</v>
      </c>
      <c r="L443" s="266">
        <f>-SUMIFS(BV_Data_An_Cour!$AM:$AM,BV_Data_An_Cour!$AP:$AP,$B443,BV_Data_An_Cour!$AQ:$AQ,$C443,BV_Data_An_Cour!$AR:$AR,$L$2)</f>
        <v>284.07000000000016</v>
      </c>
      <c r="M443" s="282">
        <f>IFERROR((K443-E443)/E443,0)</f>
        <v>0</v>
      </c>
      <c r="N443" s="303">
        <f>L443-F443</f>
        <v>284.07000000000016</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284.07000000000016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1161</v>
      </c>
      <c r="C444" s="243" t="s">
        <v>161</v>
      </c>
      <c r="D444" s="38"/>
      <c r="E444" s="38"/>
      <c r="F444" s="332">
        <f>IFERROR(F443/E443,0)</f>
        <v>0</v>
      </c>
      <c r="G444" s="243"/>
      <c r="H444" s="325"/>
      <c r="I444" s="332"/>
      <c r="J444" s="267"/>
      <c r="K444" s="38"/>
      <c r="L444" s="332">
        <f>IFERROR(L443/K443,0)</f>
        <v>0.84797014925373182</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1161</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1161</v>
      </c>
      <c r="C446" s="681" t="s">
        <v>1175</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1161</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1161</v>
      </c>
      <c r="C448" s="268" t="s">
        <v>1167</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67787.45000000007</v>
      </c>
      <c r="L448" s="271">
        <f>L437+L440+L443</f>
        <v>50272.25000000008</v>
      </c>
      <c r="M448" s="272"/>
      <c r="N448" s="271"/>
      <c r="O448" s="272"/>
      <c r="P448" s="269">
        <f>P437+P440+P443</f>
        <v>0</v>
      </c>
      <c r="Q448" s="271">
        <f>Q437+Q440+Q443</f>
        <v>0</v>
      </c>
      <c r="R448" s="272">
        <f>IF(O448=0,0,(J448-O448)/O448)</f>
        <v>0</v>
      </c>
      <c r="S448" s="271">
        <f>L448-Q448</f>
        <v>50272.25000000008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1161</v>
      </c>
      <c r="C449" s="273"/>
      <c r="D449" s="274"/>
      <c r="E449" s="274"/>
      <c r="F449" s="275"/>
      <c r="G449" s="273"/>
      <c r="H449" s="274"/>
      <c r="I449" s="275"/>
      <c r="J449" s="273"/>
      <c r="K449" s="947"/>
      <c r="L449" s="326">
        <f>L448/K448</f>
        <v>0.74161588907681331</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1161</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1161</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1161</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1161</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1161</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1161</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1161</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1161</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1161</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1161</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1161</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1161</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1161</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1161</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1161</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1161</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1161</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1161</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1161</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1161</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1161</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1161</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1161</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1161</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1161</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1161</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1161</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1161</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1161</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1161</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1161</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1161</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50272.25000000008</v>
      </c>
      <c r="M486" s="960"/>
      <c r="N486" s="958"/>
      <c r="O486" s="959"/>
      <c r="P486" s="957"/>
      <c r="Q486" s="958">
        <f>Q448-Q484</f>
        <v>0</v>
      </c>
      <c r="R486" s="961"/>
      <c r="S486" s="958">
        <f>L486-Q486</f>
        <v>50272.25000000008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Décembre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6" t="s">
        <v>592</v>
      </c>
      <c r="Y491" s="1070"/>
      <c r="Z491" s="1077"/>
      <c r="AA491" s="1069"/>
      <c r="AB491" s="1070"/>
      <c r="AC491" s="1077"/>
      <c r="AD491" s="1069" t="s">
        <v>340</v>
      </c>
      <c r="AE491" s="1070"/>
      <c r="AF491" s="1077"/>
      <c r="AG491" s="1069" t="s">
        <v>668</v>
      </c>
      <c r="AH491" s="1070"/>
      <c r="AI491" s="1077"/>
      <c r="AJ491" s="1069" t="s">
        <v>593</v>
      </c>
      <c r="AK491" s="1070"/>
      <c r="AL491" s="1070"/>
      <c r="AM491" s="1069" t="s">
        <v>594</v>
      </c>
      <c r="AN491" s="1070"/>
      <c r="AO491" s="1071"/>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19032071.390000004</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4.6109800768249679E-2</v>
      </c>
      <c r="AE494" s="393"/>
      <c r="AF494" s="391">
        <f>L27+L109+L182+L268+L326+L390+L448</f>
        <v>877565.02000000491</v>
      </c>
      <c r="AG494" s="392"/>
      <c r="AH494" s="393" t="e">
        <f>AF494-Z494</f>
        <v>#REF!</v>
      </c>
      <c r="AI494" s="394" t="e">
        <f>AH494/Z494</f>
        <v>#REF!</v>
      </c>
      <c r="AJ494" s="754" t="e">
        <f>AL494/AL493</f>
        <v>#DIV/0!</v>
      </c>
      <c r="AK494" s="393"/>
      <c r="AL494" s="391">
        <f>Q27+Q109+Q182+Q268+Q326+Q390+Q448</f>
        <v>0</v>
      </c>
      <c r="AM494" s="395"/>
      <c r="AN494" s="393">
        <f>AF494-AL494</f>
        <v>877565.02000000491</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713.08449275362375</v>
      </c>
      <c r="AF496" s="399">
        <f t="shared" ref="AF496:AF502" si="76">+SUMIF($C:$C,$V496,L:L)</f>
        <v>49202.830000000038</v>
      </c>
      <c r="AG496" s="400" t="e">
        <f t="shared" ref="AG496:AG505" si="77">AE496-Y496</f>
        <v>#DIV/0!</v>
      </c>
      <c r="AH496" s="401">
        <f t="shared" ref="AH496:AH505" si="78">AF496-Z496</f>
        <v>49202.830000000038</v>
      </c>
      <c r="AI496" s="402">
        <f t="shared" ref="AI496:AI505" si="79">IF(Z496=0,0,AH496/Z496)</f>
        <v>0</v>
      </c>
      <c r="AJ496" s="407"/>
      <c r="AK496" s="401">
        <f>IF(AL496=0,0,AL496/(O$13+O$97))</f>
        <v>0</v>
      </c>
      <c r="AL496" s="399">
        <f>SUMIFS(BV_Data_An_Prec!$AM:$AM,BV_Data_An_Prec!$AQ:$AQ,$V496)</f>
        <v>0</v>
      </c>
      <c r="AM496" s="403">
        <f>AE496-AK496</f>
        <v>713.08449275362375</v>
      </c>
      <c r="AN496" s="401">
        <f>AF496-AL496</f>
        <v>49202.830000000038</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273.71246376811581</v>
      </c>
      <c r="AF497" s="383">
        <f t="shared" si="76"/>
        <v>18886.159999999993</v>
      </c>
      <c r="AG497" s="384" t="e">
        <f t="shared" si="77"/>
        <v>#DIV/0!</v>
      </c>
      <c r="AH497" s="385">
        <f t="shared" si="78"/>
        <v>18886.159999999993</v>
      </c>
      <c r="AI497" s="412">
        <f t="shared" si="79"/>
        <v>0</v>
      </c>
      <c r="AJ497" s="411"/>
      <c r="AK497" s="385">
        <f t="shared" ref="AK497:AK504" si="81">IF(AL497=0,0,AL497/(O$13+O$97))</f>
        <v>0</v>
      </c>
      <c r="AL497" s="383">
        <f>SUMIFS(BV_Data_An_Prec!$AM:$AM,BV_Data_An_Prec!$AQ:$AQ,$V497)</f>
        <v>0</v>
      </c>
      <c r="AM497" s="993">
        <f t="shared" ref="AM497:AM504" si="82">AE497-AK497</f>
        <v>273.71246376811581</v>
      </c>
      <c r="AN497" s="385">
        <f t="shared" ref="AN497:AN504" si="83">AF497-AL497</f>
        <v>18886.159999999993</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76.43057971014494</v>
      </c>
      <c r="AF498" s="399">
        <f t="shared" si="76"/>
        <v>5273.7100000000009</v>
      </c>
      <c r="AG498" s="400" t="e">
        <f t="shared" si="77"/>
        <v>#DIV/0!</v>
      </c>
      <c r="AH498" s="401">
        <f t="shared" si="78"/>
        <v>5273.7100000000009</v>
      </c>
      <c r="AI498" s="402">
        <f t="shared" si="79"/>
        <v>0</v>
      </c>
      <c r="AJ498" s="407"/>
      <c r="AK498" s="401">
        <f t="shared" si="81"/>
        <v>0</v>
      </c>
      <c r="AL498" s="399">
        <f>SUMIFS(BV_Data_An_Prec!$AM:$AM,BV_Data_An_Prec!$AQ:$AQ,$V498)</f>
        <v>0</v>
      </c>
      <c r="AM498" s="403">
        <f t="shared" si="82"/>
        <v>76.43057971014494</v>
      </c>
      <c r="AN498" s="401">
        <f t="shared" si="83"/>
        <v>5273.7100000000009</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31.047246376811589</v>
      </c>
      <c r="AF499" s="399">
        <f t="shared" si="76"/>
        <v>2142.2599999999998</v>
      </c>
      <c r="AG499" s="400" t="e">
        <f t="shared" si="77"/>
        <v>#DIV/0!</v>
      </c>
      <c r="AH499" s="401">
        <f t="shared" si="78"/>
        <v>2142.2599999999998</v>
      </c>
      <c r="AI499" s="402">
        <f t="shared" si="79"/>
        <v>0</v>
      </c>
      <c r="AJ499" s="407"/>
      <c r="AK499" s="401">
        <f t="shared" si="81"/>
        <v>0</v>
      </c>
      <c r="AL499" s="399">
        <f>SUMIFS(BV_Data_An_Prec!$AM:$AM,BV_Data_An_Prec!$AQ:$AQ,$V499)</f>
        <v>0</v>
      </c>
      <c r="AM499" s="403">
        <f t="shared" si="82"/>
        <v>31.047246376811589</v>
      </c>
      <c r="AN499" s="401">
        <f t="shared" si="83"/>
        <v>2142.2599999999998</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-1703.3578260869567</v>
      </c>
      <c r="AF501" s="399">
        <f t="shared" si="76"/>
        <v>-117531.69000000002</v>
      </c>
      <c r="AG501" s="400" t="e">
        <f t="shared" si="77"/>
        <v>#DIV/0!</v>
      </c>
      <c r="AH501" s="401">
        <f t="shared" si="78"/>
        <v>-117531.69000000002</v>
      </c>
      <c r="AI501" s="402">
        <f t="shared" si="79"/>
        <v>0</v>
      </c>
      <c r="AJ501" s="407"/>
      <c r="AK501" s="401">
        <f t="shared" si="81"/>
        <v>0</v>
      </c>
      <c r="AL501" s="399">
        <f>SUMIFS(BV_Data_An_Prec!$AM:$AM,BV_Data_An_Prec!$AQ:$AQ,$V501)</f>
        <v>0</v>
      </c>
      <c r="AM501" s="403">
        <f t="shared" si="82"/>
        <v>-1703.3578260869567</v>
      </c>
      <c r="AN501" s="401">
        <f t="shared" si="83"/>
        <v>-117531.69000000002</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2005.4524637681159</v>
      </c>
      <c r="AF502" s="399">
        <f t="shared" si="76"/>
        <v>138376.22</v>
      </c>
      <c r="AG502" s="704" t="e">
        <f t="shared" si="77"/>
        <v>#DIV/0!</v>
      </c>
      <c r="AH502" s="659">
        <f t="shared" si="78"/>
        <v>138376.22</v>
      </c>
      <c r="AI502" s="402">
        <f t="shared" si="79"/>
        <v>0</v>
      </c>
      <c r="AJ502" s="407"/>
      <c r="AK502" s="401">
        <f t="shared" si="81"/>
        <v>0</v>
      </c>
      <c r="AL502" s="399">
        <f>SUMIFS(BV_Data_An_Prec!$AM:$AM,BV_Data_An_Prec!$AQ:$AQ,$V502)</f>
        <v>0</v>
      </c>
      <c r="AM502" s="403">
        <f t="shared" si="82"/>
        <v>2005.4524637681159</v>
      </c>
      <c r="AN502" s="401">
        <f t="shared" si="83"/>
        <v>138376.22</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3128</v>
      </c>
      <c r="W503" s="405"/>
      <c r="X503" s="402"/>
      <c r="Y503" s="406" t="e">
        <f t="shared" si="74"/>
        <v>#DIV/0!</v>
      </c>
      <c r="Z503" s="399">
        <f>IFERROR(SUMIF($C:$C,$V503,F:F),0)</f>
        <v>0</v>
      </c>
      <c r="AA503" s="398"/>
      <c r="AB503" s="406"/>
      <c r="AC503" s="399"/>
      <c r="AD503" s="407"/>
      <c r="AE503" s="401">
        <f>IF(AF503=0,0,AF503/(J$13+J$97))</f>
        <v>-3441.73869565217</v>
      </c>
      <c r="AF503" s="399">
        <f>IFERROR(SUMIF($C:$C,$V503,L:L),0)</f>
        <v>-237479.96999999974</v>
      </c>
      <c r="AG503" s="400" t="e">
        <f t="shared" si="77"/>
        <v>#DIV/0!</v>
      </c>
      <c r="AH503" s="401">
        <f t="shared" si="78"/>
        <v>-237479.96999999974</v>
      </c>
      <c r="AI503" s="402">
        <f t="shared" si="79"/>
        <v>0</v>
      </c>
      <c r="AJ503" s="407"/>
      <c r="AK503" s="401">
        <f t="shared" si="81"/>
        <v>0</v>
      </c>
      <c r="AL503" s="399">
        <f>SUMIFS(BV_Data_An_Prec!$AM:$AM,BV_Data_An_Prec!$AQ:$AQ,$V503)</f>
        <v>0</v>
      </c>
      <c r="AM503" s="403">
        <f>AE503-AK503</f>
        <v>-3441.73869565217</v>
      </c>
      <c r="AN503" s="401">
        <f t="shared" si="83"/>
        <v>-237479.96999999974</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3129</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-0.16082053954247053</v>
      </c>
      <c r="AE506" s="419"/>
      <c r="AF506" s="416">
        <f>SUM(AF496:AF505)</f>
        <v>-141130.47999999972</v>
      </c>
      <c r="AG506" s="418"/>
      <c r="AH506" s="419">
        <f t="shared" ref="AH506:AH538" si="88">AF506-Z506</f>
        <v>-141130.47999999972</v>
      </c>
      <c r="AI506" s="415" t="e">
        <f>AH506/Z506</f>
        <v>#DIV/0!</v>
      </c>
      <c r="AJ506" s="417" t="e">
        <f>AL506/AL494</f>
        <v>#DIV/0!</v>
      </c>
      <c r="AK506" s="419"/>
      <c r="AL506" s="416">
        <f>SUM(AL496:AL505)</f>
        <v>0</v>
      </c>
      <c r="AM506" s="423"/>
      <c r="AN506" s="419">
        <f t="shared" si="86"/>
        <v>-141130.47999999972</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133733.92000000001</v>
      </c>
      <c r="AG507" s="400"/>
      <c r="AH507" s="401">
        <f t="shared" si="88"/>
        <v>133733.92000000001</v>
      </c>
      <c r="AI507" s="402">
        <f t="shared" ref="AI507:AI519" si="89">IF(Z507=0,0,AH507/Z507)</f>
        <v>0</v>
      </c>
      <c r="AJ507" s="407"/>
      <c r="AK507" s="406"/>
      <c r="AL507" s="399">
        <f>SUMIFS(BV_Data_An_Prec!$AM:$AM,BV_Data_An_Prec!$AQ:$AQ,$V507)</f>
        <v>0</v>
      </c>
      <c r="AM507" s="403"/>
      <c r="AN507" s="401">
        <f t="shared" si="86"/>
        <v>133733.92000000001</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59057.82</v>
      </c>
      <c r="AG508" s="400"/>
      <c r="AH508" s="401">
        <f t="shared" si="88"/>
        <v>59057.82</v>
      </c>
      <c r="AI508" s="402">
        <f t="shared" si="89"/>
        <v>0</v>
      </c>
      <c r="AJ508" s="407"/>
      <c r="AK508" s="406"/>
      <c r="AL508" s="399">
        <f>SUMIFS(BV_Data_An_Prec!$AM:$AM,BV_Data_An_Prec!$AQ:$AQ,$V508)</f>
        <v>0</v>
      </c>
      <c r="AM508" s="403"/>
      <c r="AN508" s="401">
        <f t="shared" si="86"/>
        <v>59057.82</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63914.709999999977</v>
      </c>
      <c r="AG509" s="384"/>
      <c r="AH509" s="385">
        <f t="shared" si="88"/>
        <v>63914.709999999977</v>
      </c>
      <c r="AI509" s="412">
        <f t="shared" si="89"/>
        <v>0</v>
      </c>
      <c r="AJ509" s="411"/>
      <c r="AK509" s="410"/>
      <c r="AL509" s="383">
        <f>SUMIFS(BV_Data_An_Prec!$AM:$AM,BV_Data_An_Prec!$AQ:$AQ,$V509)</f>
        <v>0</v>
      </c>
      <c r="AM509" s="387"/>
      <c r="AN509" s="385">
        <f t="shared" si="86"/>
        <v>63914.709999999977</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137094.82</v>
      </c>
      <c r="AG510" s="400"/>
      <c r="AH510" s="401">
        <f t="shared" si="88"/>
        <v>137094.82</v>
      </c>
      <c r="AI510" s="402">
        <f t="shared" si="89"/>
        <v>0</v>
      </c>
      <c r="AJ510" s="407"/>
      <c r="AK510" s="406"/>
      <c r="AL510" s="399">
        <f>SUMIFS(BV_Data_An_Prec!$AM:$AM,BV_Data_An_Prec!$AQ:$AQ,$V510)</f>
        <v>0</v>
      </c>
      <c r="AM510" s="403"/>
      <c r="AN510" s="401">
        <f t="shared" si="86"/>
        <v>137094.82</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41798.790000000023</v>
      </c>
      <c r="AG515" s="384"/>
      <c r="AH515" s="385">
        <f t="shared" si="88"/>
        <v>41798.790000000023</v>
      </c>
      <c r="AI515" s="412">
        <f t="shared" si="89"/>
        <v>0</v>
      </c>
      <c r="AJ515" s="411"/>
      <c r="AK515" s="410"/>
      <c r="AL515" s="383">
        <f>SUMIFS(BV_Data_An_Prec!$AM:$AM,BV_Data_An_Prec!$AQ:$AQ,$V515)</f>
        <v>0</v>
      </c>
      <c r="AM515" s="387"/>
      <c r="AN515" s="385">
        <f t="shared" si="86"/>
        <v>41798.790000000023</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57656.15</v>
      </c>
      <c r="AG516" s="400"/>
      <c r="AH516" s="401">
        <f t="shared" si="88"/>
        <v>57656.15</v>
      </c>
      <c r="AI516" s="402">
        <f t="shared" si="89"/>
        <v>0</v>
      </c>
      <c r="AJ516" s="407"/>
      <c r="AK516" s="406"/>
      <c r="AL516" s="399">
        <f>SUMIFS(BV_Data_An_Prec!$AM:$AM,BV_Data_An_Prec!$AQ:$AQ,$V516)</f>
        <v>0</v>
      </c>
      <c r="AM516" s="403"/>
      <c r="AN516" s="401">
        <f t="shared" si="86"/>
        <v>57656.15</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96371.76999999999</v>
      </c>
      <c r="AG517" s="400"/>
      <c r="AH517" s="401">
        <f t="shared" si="88"/>
        <v>96371.76999999999</v>
      </c>
      <c r="AI517" s="402">
        <f t="shared" si="89"/>
        <v>0</v>
      </c>
      <c r="AJ517" s="407"/>
      <c r="AK517" s="406"/>
      <c r="AL517" s="399">
        <f>SUMIFS(BV_Data_An_Prec!$AM:$AM,BV_Data_An_Prec!$AQ:$AQ,$V517)</f>
        <v>0</v>
      </c>
      <c r="AM517" s="403"/>
      <c r="AN517" s="401">
        <f t="shared" si="86"/>
        <v>96371.76999999999</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-24352.079999999994</v>
      </c>
      <c r="AG518" s="400"/>
      <c r="AH518" s="401">
        <f t="shared" si="88"/>
        <v>-24352.079999999994</v>
      </c>
      <c r="AI518" s="420">
        <f t="shared" si="89"/>
        <v>0</v>
      </c>
      <c r="AJ518" s="407"/>
      <c r="AK518" s="406"/>
      <c r="AL518" s="399">
        <f>SUMIFS(BV_Data_An_Prec!$AM:$AM,BV_Data_An_Prec!$AQ:$AQ,$V518)</f>
        <v>0</v>
      </c>
      <c r="AM518" s="403"/>
      <c r="AN518" s="401">
        <f t="shared" si="86"/>
        <v>-24352.079999999994</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0.64414133097510762</v>
      </c>
      <c r="AE520" s="421"/>
      <c r="AF520" s="416">
        <f>SUM(AF507:AF519)</f>
        <v>565275.90000000014</v>
      </c>
      <c r="AG520" s="418"/>
      <c r="AH520" s="419">
        <f t="shared" si="88"/>
        <v>565275.90000000014</v>
      </c>
      <c r="AI520" s="415" t="e">
        <f>AH520/Z520</f>
        <v>#DIV/0!</v>
      </c>
      <c r="AJ520" s="417" t="e">
        <f>AL520/AL494</f>
        <v>#DIV/0!</v>
      </c>
      <c r="AK520" s="421"/>
      <c r="AL520" s="416">
        <f>SUM(AL507:AL519)</f>
        <v>0</v>
      </c>
      <c r="AM520" s="423"/>
      <c r="AN520" s="419">
        <f t="shared" si="86"/>
        <v>565275.90000000014</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17047.88</v>
      </c>
      <c r="AG521" s="427"/>
      <c r="AH521" s="429">
        <f t="shared" si="88"/>
        <v>17047.88</v>
      </c>
      <c r="AI521" s="430">
        <f t="shared" ref="AI521:AI538" si="92">IF(Z521=0,0,AH521/Z521)</f>
        <v>0</v>
      </c>
      <c r="AJ521" s="427"/>
      <c r="AK521" s="428"/>
      <c r="AL521" s="426">
        <f>SUMIFS(BV_Data_An_Prec!$AM:$AM,BV_Data_An_Prec!$AQ:$AQ,$V521)</f>
        <v>0</v>
      </c>
      <c r="AM521" s="431"/>
      <c r="AN521" s="429">
        <f t="shared" si="86"/>
        <v>17047.88</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10457.769999999997</v>
      </c>
      <c r="AG522" s="400"/>
      <c r="AH522" s="401">
        <f t="shared" si="88"/>
        <v>10457.769999999997</v>
      </c>
      <c r="AI522" s="402">
        <f t="shared" si="92"/>
        <v>0</v>
      </c>
      <c r="AJ522" s="407"/>
      <c r="AK522" s="406"/>
      <c r="AL522" s="399">
        <f>SUMIFS(BV_Data_An_Prec!$AM:$AM,BV_Data_An_Prec!$AQ:$AQ,$V522)</f>
        <v>0</v>
      </c>
      <c r="AM522" s="403"/>
      <c r="AN522" s="401">
        <f t="shared" si="86"/>
        <v>10457.769999999997</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12722.899999999983</v>
      </c>
      <c r="AG523" s="384"/>
      <c r="AH523" s="385">
        <f t="shared" si="88"/>
        <v>12722.899999999983</v>
      </c>
      <c r="AI523" s="412">
        <f t="shared" si="92"/>
        <v>0</v>
      </c>
      <c r="AJ523" s="411"/>
      <c r="AK523" s="410"/>
      <c r="AL523" s="383">
        <f>SUMIFS(BV_Data_An_Prec!$AM:$AM,BV_Data_An_Prec!$AQ:$AQ,$V523)</f>
        <v>0</v>
      </c>
      <c r="AM523" s="387"/>
      <c r="AN523" s="385">
        <f t="shared" si="86"/>
        <v>12722.899999999983</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16179.810000000001</v>
      </c>
      <c r="AG524" s="400"/>
      <c r="AH524" s="401">
        <f t="shared" si="88"/>
        <v>16179.810000000001</v>
      </c>
      <c r="AI524" s="402">
        <f t="shared" si="92"/>
        <v>0</v>
      </c>
      <c r="AJ524" s="407"/>
      <c r="AK524" s="406"/>
      <c r="AL524" s="399">
        <f>SUMIFS(BV_Data_An_Prec!$AM:$AM,BV_Data_An_Prec!$AQ:$AQ,$V524)</f>
        <v>0</v>
      </c>
      <c r="AM524" s="403"/>
      <c r="AN524" s="401">
        <f t="shared" si="86"/>
        <v>16179.810000000001</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-15692.679999999998</v>
      </c>
      <c r="AG525" s="400"/>
      <c r="AH525" s="401">
        <f t="shared" si="88"/>
        <v>-15692.679999999998</v>
      </c>
      <c r="AI525" s="402">
        <f t="shared" si="92"/>
        <v>0</v>
      </c>
      <c r="AJ525" s="407"/>
      <c r="AK525" s="406"/>
      <c r="AL525" s="399">
        <f>SUMIFS(BV_Data_An_Prec!$AM:$AM,BV_Data_An_Prec!$AQ:$AQ,$V525)</f>
        <v>0</v>
      </c>
      <c r="AM525" s="403"/>
      <c r="AN525" s="401">
        <f t="shared" si="86"/>
        <v>-15692.679999999998</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26878.539999999997</v>
      </c>
      <c r="AG526" s="400"/>
      <c r="AH526" s="401">
        <f t="shared" si="88"/>
        <v>26878.539999999997</v>
      </c>
      <c r="AI526" s="402">
        <f t="shared" si="92"/>
        <v>0</v>
      </c>
      <c r="AJ526" s="407"/>
      <c r="AK526" s="406"/>
      <c r="AL526" s="399">
        <f>SUMIFS(BV_Data_An_Prec!$AM:$AM,BV_Data_An_Prec!$AQ:$AQ,$V526)</f>
        <v>0</v>
      </c>
      <c r="AM526" s="403"/>
      <c r="AN526" s="401">
        <f t="shared" si="86"/>
        <v>26878.539999999997</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6906.8700000000008</v>
      </c>
      <c r="AG528" s="400"/>
      <c r="AH528" s="401">
        <f t="shared" si="88"/>
        <v>6906.8700000000008</v>
      </c>
      <c r="AI528" s="402">
        <f t="shared" si="92"/>
        <v>0</v>
      </c>
      <c r="AJ528" s="407"/>
      <c r="AK528" s="406"/>
      <c r="AL528" s="399">
        <f>SUMIFS(BV_Data_An_Prec!$AM:$AM,BV_Data_An_Prec!$AQ:$AQ,$V528)</f>
        <v>0</v>
      </c>
      <c r="AM528" s="403"/>
      <c r="AN528" s="401">
        <f t="shared" si="86"/>
        <v>6906.8700000000008</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5518.76</v>
      </c>
      <c r="AG530" s="400"/>
      <c r="AH530" s="401">
        <f t="shared" si="88"/>
        <v>5518.76</v>
      </c>
      <c r="AI530" s="402">
        <f t="shared" si="92"/>
        <v>0</v>
      </c>
      <c r="AJ530" s="407"/>
      <c r="AK530" s="406"/>
      <c r="AL530" s="399">
        <f>SUMIFS(BV_Data_An_Prec!$AM:$AM,BV_Data_An_Prec!$AQ:$AQ,$V530)</f>
        <v>0</v>
      </c>
      <c r="AM530" s="403"/>
      <c r="AN530" s="401">
        <f t="shared" si="86"/>
        <v>5518.76</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1068.6199999999985</v>
      </c>
      <c r="AG531" s="400"/>
      <c r="AH531" s="401">
        <f t="shared" si="88"/>
        <v>1068.6199999999985</v>
      </c>
      <c r="AI531" s="420">
        <f t="shared" si="92"/>
        <v>0</v>
      </c>
      <c r="AJ531" s="407"/>
      <c r="AK531" s="406"/>
      <c r="AL531" s="399">
        <f>SUMIFS(BV_Data_An_Prec!$AM:$AM,BV_Data_An_Prec!$AQ:$AQ,$V531)</f>
        <v>0</v>
      </c>
      <c r="AM531" s="403"/>
      <c r="AN531" s="401">
        <f t="shared" si="86"/>
        <v>1068.6199999999985</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4216.66</v>
      </c>
      <c r="AG532" s="400"/>
      <c r="AH532" s="401">
        <f t="shared" si="88"/>
        <v>4216.66</v>
      </c>
      <c r="AI532" s="402">
        <f t="shared" si="92"/>
        <v>0</v>
      </c>
      <c r="AJ532" s="407"/>
      <c r="AK532" s="406"/>
      <c r="AL532" s="399">
        <f>SUMIFS(BV_Data_An_Prec!$AM:$AM,BV_Data_An_Prec!$AQ:$AQ,$V532)</f>
        <v>0</v>
      </c>
      <c r="AM532" s="403"/>
      <c r="AN532" s="401">
        <f t="shared" si="86"/>
        <v>4216.66</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15519.54</v>
      </c>
      <c r="AG533" s="400"/>
      <c r="AH533" s="401">
        <f t="shared" si="88"/>
        <v>15519.54</v>
      </c>
      <c r="AI533" s="420">
        <f t="shared" si="92"/>
        <v>0</v>
      </c>
      <c r="AJ533" s="407"/>
      <c r="AK533" s="406"/>
      <c r="AL533" s="399">
        <f>SUMIFS(BV_Data_An_Prec!$AM:$AM,BV_Data_An_Prec!$AQ:$AQ,$V533)</f>
        <v>0</v>
      </c>
      <c r="AM533" s="403"/>
      <c r="AN533" s="401">
        <f t="shared" si="86"/>
        <v>15519.54</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3111.8</v>
      </c>
      <c r="AG534" s="400"/>
      <c r="AH534" s="401">
        <f t="shared" si="88"/>
        <v>3111.8</v>
      </c>
      <c r="AI534" s="402">
        <f t="shared" si="92"/>
        <v>0</v>
      </c>
      <c r="AJ534" s="407"/>
      <c r="AK534" s="406"/>
      <c r="AL534" s="399">
        <f>SUMIFS(BV_Data_An_Prec!$AM:$AM,BV_Data_An_Prec!$AQ:$AQ,$V534)</f>
        <v>0</v>
      </c>
      <c r="AM534" s="403"/>
      <c r="AN534" s="401">
        <f t="shared" si="86"/>
        <v>3111.8</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5564.42</v>
      </c>
      <c r="AG535" s="400"/>
      <c r="AH535" s="659">
        <f t="shared" si="88"/>
        <v>5564.42</v>
      </c>
      <c r="AI535" s="402">
        <f t="shared" si="92"/>
        <v>0</v>
      </c>
      <c r="AJ535" s="407"/>
      <c r="AK535" s="406"/>
      <c r="AL535" s="399">
        <f>SUMIFS(BV_Data_An_Prec!$AM:$AM,BV_Data_An_Prec!$AQ:$AQ,$V535)</f>
        <v>0</v>
      </c>
      <c r="AM535" s="403"/>
      <c r="AN535" s="401">
        <f t="shared" si="86"/>
        <v>5564.42</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3147</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0.12477809336566238</v>
      </c>
      <c r="AE539" s="414"/>
      <c r="AF539" s="416">
        <f>+SUM(AF521:AF538)</f>
        <v>109500.88999999998</v>
      </c>
      <c r="AG539" s="422"/>
      <c r="AH539" s="435">
        <f>+SUM(AH521:AH538)</f>
        <v>109500.88999999998</v>
      </c>
      <c r="AI539" s="415" t="e">
        <f>AH539/Z539</f>
        <v>#DIV/0!</v>
      </c>
      <c r="AJ539" s="417" t="e">
        <f>AL539/AL494</f>
        <v>#DIV/0!</v>
      </c>
      <c r="AK539" s="414"/>
      <c r="AL539" s="416">
        <f>+SUM(AL521:AL538)</f>
        <v>0</v>
      </c>
      <c r="AM539" s="423"/>
      <c r="AN539" s="419">
        <f t="shared" si="86"/>
        <v>109500.88999999998</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54086.229999999989</v>
      </c>
      <c r="AG540" s="400"/>
      <c r="AH540" s="401">
        <f t="shared" ref="AH540:AH548" si="94">AF540-Z540</f>
        <v>54086.229999999989</v>
      </c>
      <c r="AI540" s="402">
        <f t="shared" ref="AI540:AI548" si="95">IF(Z540=0,0,AH540/Z540)</f>
        <v>0</v>
      </c>
      <c r="AJ540" s="407"/>
      <c r="AK540" s="406"/>
      <c r="AL540" s="399">
        <f>SUMIFS(BV_Data_An_Prec!$AM:$AM,BV_Data_An_Prec!$AQ:$AQ,$V540)</f>
        <v>0</v>
      </c>
      <c r="AM540" s="403"/>
      <c r="AN540" s="401">
        <f t="shared" si="86"/>
        <v>54086.229999999989</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-11944.200000000004</v>
      </c>
      <c r="AG541" s="400"/>
      <c r="AH541" s="401">
        <f t="shared" si="94"/>
        <v>-11944.200000000004</v>
      </c>
      <c r="AI541" s="402">
        <f t="shared" si="95"/>
        <v>0</v>
      </c>
      <c r="AJ541" s="407"/>
      <c r="AK541" s="406"/>
      <c r="AL541" s="399">
        <f>SUMIFS(BV_Data_An_Prec!$AM:$AM,BV_Data_An_Prec!$AQ:$AQ,$V541)</f>
        <v>0</v>
      </c>
      <c r="AM541" s="403"/>
      <c r="AN541" s="401">
        <f t="shared" si="86"/>
        <v>-11944.200000000004</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10101.000000000007</v>
      </c>
      <c r="AG542" s="384"/>
      <c r="AH542" s="385">
        <f t="shared" si="94"/>
        <v>10101.000000000007</v>
      </c>
      <c r="AI542" s="412">
        <f t="shared" si="95"/>
        <v>0</v>
      </c>
      <c r="AJ542" s="411"/>
      <c r="AK542" s="410"/>
      <c r="AL542" s="383">
        <f>SUMIFS(BV_Data_An_Prec!$AM:$AM,BV_Data_An_Prec!$AQ:$AQ,$V542)</f>
        <v>0</v>
      </c>
      <c r="AM542" s="387"/>
      <c r="AN542" s="385">
        <f t="shared" si="86"/>
        <v>10101.000000000007</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13073.610000000006</v>
      </c>
      <c r="AG544" s="384"/>
      <c r="AH544" s="385">
        <f t="shared" si="94"/>
        <v>13073.610000000006</v>
      </c>
      <c r="AI544" s="412">
        <f t="shared" si="95"/>
        <v>0</v>
      </c>
      <c r="AJ544" s="411"/>
      <c r="AK544" s="410"/>
      <c r="AL544" s="383">
        <f>SUMIFS(BV_Data_An_Prec!$AM:$AM,BV_Data_An_Prec!$AQ:$AQ,$V544)</f>
        <v>0</v>
      </c>
      <c r="AM544" s="387"/>
      <c r="AN544" s="385">
        <f t="shared" si="86"/>
        <v>13073.610000000006</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16572.36</v>
      </c>
      <c r="AG545" s="400"/>
      <c r="AH545" s="401">
        <f t="shared" si="94"/>
        <v>16572.36</v>
      </c>
      <c r="AI545" s="402">
        <f t="shared" si="95"/>
        <v>0</v>
      </c>
      <c r="AJ545" s="407"/>
      <c r="AK545" s="406"/>
      <c r="AL545" s="399">
        <f>SUMIFS(BV_Data_An_Prec!$AM:$AM,BV_Data_An_Prec!$AQ:$AQ,$V545)</f>
        <v>0</v>
      </c>
      <c r="AM545" s="403"/>
      <c r="AN545" s="401">
        <f t="shared" si="86"/>
        <v>16572.36</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-8799.9999999999982</v>
      </c>
      <c r="AG546" s="400"/>
      <c r="AH546" s="401">
        <f t="shared" si="94"/>
        <v>-8799.9999999999982</v>
      </c>
      <c r="AI546" s="402">
        <f t="shared" si="95"/>
        <v>0</v>
      </c>
      <c r="AJ546" s="407"/>
      <c r="AK546" s="406"/>
      <c r="AL546" s="399">
        <f>SUMIFS(BV_Data_An_Prec!$AM:$AM,BV_Data_An_Prec!$AQ:$AQ,$V546)</f>
        <v>0</v>
      </c>
      <c r="AM546" s="403"/>
      <c r="AN546" s="401">
        <f t="shared" si="86"/>
        <v>-8799.9999999999982</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7639.2300000000032</v>
      </c>
      <c r="AG547" s="384"/>
      <c r="AH547" s="385">
        <f t="shared" si="94"/>
        <v>7639.2300000000032</v>
      </c>
      <c r="AI547" s="412">
        <f t="shared" si="95"/>
        <v>0</v>
      </c>
      <c r="AJ547" s="411"/>
      <c r="AK547" s="410"/>
      <c r="AL547" s="383">
        <f>SUMIFS(BV_Data_An_Prec!$AM:$AM,BV_Data_An_Prec!$AQ:$AQ,$V547)</f>
        <v>0</v>
      </c>
      <c r="AM547" s="387"/>
      <c r="AN547" s="385">
        <f t="shared" si="86"/>
        <v>7639.2300000000032</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158.19999999999982</v>
      </c>
      <c r="AG548" s="400"/>
      <c r="AH548" s="401">
        <f t="shared" si="94"/>
        <v>158.19999999999982</v>
      </c>
      <c r="AI548" s="439">
        <f t="shared" si="95"/>
        <v>0</v>
      </c>
      <c r="AJ548" s="407"/>
      <c r="AK548" s="406"/>
      <c r="AL548" s="399">
        <f>SUMIFS(BV_Data_An_Prec!$AM:$AM,BV_Data_An_Prec!$AQ:$AQ,$V548)</f>
        <v>0</v>
      </c>
      <c r="AM548" s="403"/>
      <c r="AN548" s="401">
        <f t="shared" si="86"/>
        <v>158.19999999999982</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9.217143819155367E-2</v>
      </c>
      <c r="AE553" s="414"/>
      <c r="AF553" s="416">
        <f>SUM(AF540:AF552)</f>
        <v>80886.430000000008</v>
      </c>
      <c r="AG553" s="422"/>
      <c r="AH553" s="435">
        <f>SUM(AH540:AH552)</f>
        <v>80886.430000000008</v>
      </c>
      <c r="AI553" s="415">
        <f>IF(Z553=0,0,AH553/Z553)</f>
        <v>0</v>
      </c>
      <c r="AJ553" s="417" t="e">
        <f>AL553/AL494</f>
        <v>#DIV/0!</v>
      </c>
      <c r="AK553" s="414"/>
      <c r="AL553" s="416">
        <f>SUM(AL540:AL552)</f>
        <v>0</v>
      </c>
      <c r="AM553" s="423"/>
      <c r="AN553" s="419">
        <f t="shared" si="86"/>
        <v>80886.430000000008</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0.70027032298985326</v>
      </c>
      <c r="AE555" s="414"/>
      <c r="AF555" s="416">
        <f>AF506+AF520+AF539+AF553</f>
        <v>614532.74000000046</v>
      </c>
      <c r="AG555" s="422"/>
      <c r="AH555" s="435">
        <f t="shared" si="96"/>
        <v>614532.74000000046</v>
      </c>
      <c r="AI555" s="415" t="e">
        <f>AH555/Z555</f>
        <v>#DIV/0!</v>
      </c>
      <c r="AJ555" s="417" t="e">
        <f>AL555/AL494</f>
        <v>#DIV/0!</v>
      </c>
      <c r="AK555" s="414"/>
      <c r="AL555" s="416">
        <f>AL506+AL520+AL539+AL553</f>
        <v>0</v>
      </c>
      <c r="AM555" s="423"/>
      <c r="AN555" s="419">
        <f t="shared" ref="AN555:AN568" si="97">AF555-AL555</f>
        <v>614532.74000000046</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832915.41000000027</v>
      </c>
      <c r="AG556" s="446"/>
      <c r="AH556" s="401">
        <f t="shared" si="96"/>
        <v>832915.41000000027</v>
      </c>
      <c r="AI556" s="439" t="e">
        <f>IF(AH556=0,0,AH556/Z556)</f>
        <v>#DIV/0!</v>
      </c>
      <c r="AJ556" s="445"/>
      <c r="AK556" s="444"/>
      <c r="AL556" s="426">
        <f>-SUMIFS(BV_Data_An_Prec!$AM:$AM,BV_Data_An_Prec!$AQ:$AQ,$V556)</f>
        <v>0</v>
      </c>
      <c r="AM556" s="447"/>
      <c r="AN556" s="401">
        <f t="shared" si="97"/>
        <v>832915.41000000027</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3135</v>
      </c>
      <c r="W558" s="398"/>
      <c r="X558" s="398"/>
      <c r="Y558" s="398"/>
      <c r="Z558" s="399">
        <f t="shared" si="99"/>
        <v>0</v>
      </c>
      <c r="AA558" s="437"/>
      <c r="AB558" s="438"/>
      <c r="AC558" s="399"/>
      <c r="AD558" s="451"/>
      <c r="AF558" s="399">
        <f t="shared" si="100"/>
        <v>5621.929999999993</v>
      </c>
      <c r="AG558" s="450"/>
      <c r="AH558" s="401">
        <f t="shared" si="96"/>
        <v>5621.929999999993</v>
      </c>
      <c r="AI558" s="420" t="e">
        <f t="shared" ref="AI558:AI567" si="101">IF(AH558=0,0,AH558/Z558)</f>
        <v>#DIV/0!</v>
      </c>
      <c r="AJ558" s="451"/>
      <c r="AL558" s="399">
        <f>-SUMIFS(BV_Data_An_Prec!$AM:$AM,BV_Data_An_Prec!$AQ:$AQ,$V558)</f>
        <v>0</v>
      </c>
      <c r="AM558" s="448"/>
      <c r="AN558" s="401">
        <f t="shared" si="97"/>
        <v>5621.929999999993</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0.95552730668320807</v>
      </c>
      <c r="AE568" s="434"/>
      <c r="AF568" s="416">
        <f>SUM(AF556:AF567)</f>
        <v>838537.34000000032</v>
      </c>
      <c r="AG568" s="422"/>
      <c r="AH568" s="419">
        <f t="shared" si="96"/>
        <v>838537.34000000032</v>
      </c>
      <c r="AI568" s="415" t="e">
        <f>AH568/Z568</f>
        <v>#DIV/0!</v>
      </c>
      <c r="AJ568" s="415" t="e">
        <f>AL568/+AL494</f>
        <v>#DIV/0!</v>
      </c>
      <c r="AK568" s="434"/>
      <c r="AL568" s="416">
        <f>SUM(AL556:AL567)</f>
        <v>0</v>
      </c>
      <c r="AM568" s="453"/>
      <c r="AN568" s="419">
        <f t="shared" si="97"/>
        <v>838537.34000000032</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5.7879649431054628E-2</v>
      </c>
      <c r="AF570" s="468">
        <f>AF494-AF555+AF568</f>
        <v>1101569.6200000048</v>
      </c>
      <c r="AG570" s="470"/>
      <c r="AH570" s="470" t="e">
        <f>AF570-Z570</f>
        <v>#REF!</v>
      </c>
      <c r="AI570" s="471" t="e">
        <f>AH570/Z570</f>
        <v>#REF!</v>
      </c>
      <c r="AJ570" s="466" t="s">
        <v>215</v>
      </c>
      <c r="AK570" s="467" t="e">
        <f>AL570/AL493</f>
        <v>#DIV/0!</v>
      </c>
      <c r="AL570" s="468">
        <f>AL494-AL555+AL568</f>
        <v>0</v>
      </c>
      <c r="AM570" s="472"/>
      <c r="AN570" s="469">
        <f>AF570-AL570</f>
        <v>1101569.6200000048</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Décembre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6.5150335693439435E-2</v>
      </c>
      <c r="AF575" s="752">
        <f>AF576+AF502</f>
        <v>1239945.8400000047</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1239945.8400000047</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5.7879649431054628E-2</v>
      </c>
      <c r="AF576" s="468">
        <f>AF570</f>
        <v>1101569.6200000048</v>
      </c>
      <c r="AG576" s="469"/>
      <c r="AH576" s="470" t="e">
        <f>AF576-Z576</f>
        <v>#REF!</v>
      </c>
      <c r="AI576" s="471" t="e">
        <f>AH576/Z576</f>
        <v>#REF!</v>
      </c>
      <c r="AJ576" s="466" t="s">
        <v>215</v>
      </c>
      <c r="AK576" s="467">
        <f>IF($AL$493=0,0,AL576/$AL$493)</f>
        <v>0</v>
      </c>
      <c r="AL576" s="468">
        <f>AL570</f>
        <v>0</v>
      </c>
      <c r="AM576" s="474"/>
      <c r="AN576" s="475">
        <f t="shared" si="103"/>
        <v>1101569.6200000048</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40778.229999999996</v>
      </c>
      <c r="AG578" s="398"/>
      <c r="AH578" s="401">
        <f t="shared" ref="AH578:AH585" si="105">AF578-Z578</f>
        <v>40778.229999999996</v>
      </c>
      <c r="AI578" s="420">
        <f t="shared" ref="AI578:AI584" si="106">IF(Z578=0,0,AH578/Z578)</f>
        <v>0</v>
      </c>
      <c r="AJ578" s="398"/>
      <c r="AK578" s="406"/>
      <c r="AL578" s="399">
        <f>SUMIFS(BV_Data_An_Prec!$AM:$AM,BV_Data_An_Prec!$AQ:$AQ,$V578)</f>
        <v>0</v>
      </c>
      <c r="AM578" s="403"/>
      <c r="AN578" s="401">
        <f t="shared" si="103"/>
        <v>40778.229999999996</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5.5737043449583475E-2</v>
      </c>
      <c r="AF585" s="468">
        <f>AF576-AF578-AF579-AF580-AF584-AF583</f>
        <v>1060791.3900000048</v>
      </c>
      <c r="AG585" s="470"/>
      <c r="AH585" s="470" t="e">
        <f t="shared" si="105"/>
        <v>#REF!</v>
      </c>
      <c r="AI585" s="471" t="e">
        <f>AH585/Z585</f>
        <v>#REF!</v>
      </c>
      <c r="AJ585" s="466" t="s">
        <v>215</v>
      </c>
      <c r="AK585" s="467">
        <f>IF($AL$493=0,0,AL585/$AL$493)</f>
        <v>0</v>
      </c>
      <c r="AL585" s="468">
        <f>AL576-AL578-AL579-AL580-AL584-AL583</f>
        <v>0</v>
      </c>
      <c r="AM585" s="472"/>
      <c r="AN585" s="469">
        <f t="shared" si="103"/>
        <v>1060791.3900000048</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785502</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-275289.39000000479</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abSelected="1" topLeftCell="S548" zoomScale="80" zoomScaleNormal="80" workbookViewId="0">
      <selection activeCell="AN593" sqref="AN593"/>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898437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Décembre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7" t="s">
        <v>339</v>
      </c>
      <c r="E3" s="1072"/>
      <c r="F3" s="1073"/>
      <c r="G3" s="1074"/>
      <c r="H3" s="1072"/>
      <c r="I3" s="1073"/>
      <c r="J3" s="1074" t="s">
        <v>340</v>
      </c>
      <c r="K3" s="1072"/>
      <c r="L3" s="1073"/>
      <c r="M3" s="1074" t="s">
        <v>668</v>
      </c>
      <c r="N3" s="1073"/>
      <c r="O3" s="1067" t="s">
        <v>341</v>
      </c>
      <c r="P3" s="1072"/>
      <c r="Q3" s="1073"/>
      <c r="R3" s="1066" t="s">
        <v>670</v>
      </c>
      <c r="S3" s="1075"/>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148353501.43000001</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9</v>
      </c>
      <c r="K6" s="281">
        <f t="shared" ref="K6:K12" si="3">IF(J6=0,0,L6/J6)</f>
        <v>6187.9377777777718</v>
      </c>
      <c r="L6" s="266">
        <f>-SUMIFS(BV_Data_An_Cour!$AN:$AN,BV_Data_An_Cour!$AP:$AP,$B6,BV_Data_An_Cour!$AQ:$AQ,$C6,BV_Data_An_Cour!$AR:$AR,L$2)</f>
        <v>55691.439999999944</v>
      </c>
      <c r="M6" s="245">
        <f t="shared" ref="M6:M12" si="4">J6-D6</f>
        <v>9</v>
      </c>
      <c r="N6" s="246">
        <f t="shared" ref="N6:N12" si="5">L6-F6</f>
        <v>55691.439999999944</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9</v>
      </c>
      <c r="S6" s="266">
        <f t="shared" ref="S6:S12" si="8">L6-Q6</f>
        <v>55691.439999999944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552</v>
      </c>
      <c r="K7" s="281">
        <f t="shared" si="3"/>
        <v>2895.922862318871</v>
      </c>
      <c r="L7" s="266">
        <f>-SUMIFS(BV_Data_An_Cour!$AN:$AN,BV_Data_An_Cour!$AP:$AP,$B7,BV_Data_An_Cour!$AQ:$AQ,$C7,BV_Data_An_Cour!$AR:$AR,L$2)</f>
        <v>1598549.4200000167</v>
      </c>
      <c r="M7" s="245">
        <f t="shared" si="4"/>
        <v>552</v>
      </c>
      <c r="N7" s="246">
        <f t="shared" si="5"/>
        <v>1598549.4200000167</v>
      </c>
      <c r="O7" s="245">
        <f>SUMIFS(BV_Data_An_Prec!$AX:$AX,BV_Data_An_Prec!$AP:$AP,$B7,BV_Data_An_Prec!$AQ:$AQ,$C7,BV_Data_An_Prec!$AY:$AY,O$2)</f>
        <v>0</v>
      </c>
      <c r="P7" s="281">
        <f t="shared" si="6"/>
        <v>0</v>
      </c>
      <c r="Q7" s="266">
        <f>-SUMIFS(BV_Data_An_Prec!$AN:$AN,BV_Data_An_Prec!$AP:$AP,$B7,BV_Data_An_Prec!$AQ:$AQ,$C7,BV_Data_An_Prec!$AR:$AR,Q$2)</f>
        <v>0</v>
      </c>
      <c r="R7" s="245">
        <f t="shared" si="7"/>
        <v>552</v>
      </c>
      <c r="S7" s="266">
        <f t="shared" si="8"/>
        <v>1598549.4200000167</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1157</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3127</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195</v>
      </c>
      <c r="K9" s="281">
        <f t="shared" si="3"/>
        <v>1142.8645641025771</v>
      </c>
      <c r="L9" s="266">
        <f>-SUMIFS(BV_Data_An_Cour!$AN:$AN,BV_Data_An_Cour!$AP:$AP,$B9,BV_Data_An_Cour!$AQ:$AQ,$C9,BV_Data_An_Cour!$AR:$AR,L$2)</f>
        <v>222858.59000000253</v>
      </c>
      <c r="M9" s="245">
        <f t="shared" si="4"/>
        <v>195</v>
      </c>
      <c r="N9" s="246">
        <f t="shared" si="5"/>
        <v>222858.59000000253</v>
      </c>
      <c r="O9" s="245">
        <f>SUMIFS(BV_Data_An_Prec!$AX:$AX,BV_Data_An_Prec!$AP:$AP,$B9,BV_Data_An_Prec!$AQ:$AQ,$C9,BV_Data_An_Prec!$AY:$AY,O$2)</f>
        <v>0</v>
      </c>
      <c r="P9" s="281">
        <f t="shared" si="6"/>
        <v>0</v>
      </c>
      <c r="Q9" s="266">
        <f>-SUMIFS(BV_Data_An_Prec!$AN:$AN,BV_Data_An_Prec!$AP:$AP,$B9,BV_Data_An_Prec!$AQ:$AQ,$C9,BV_Data_An_Prec!$AR:$AR,Q$2)</f>
        <v>0</v>
      </c>
      <c r="R9" s="245">
        <f t="shared" si="7"/>
        <v>195</v>
      </c>
      <c r="S9" s="266">
        <f t="shared" si="8"/>
        <v>222858.59000000253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756</v>
      </c>
      <c r="K13" s="355">
        <f>IF(J13&lt;=0,0,L13/J13)</f>
        <v>2482.9357804233059</v>
      </c>
      <c r="L13" s="356">
        <f>+SUM(L6:L12)</f>
        <v>1877099.4500000193</v>
      </c>
      <c r="M13" s="252">
        <f>+SUM(M6:M12)</f>
        <v>756</v>
      </c>
      <c r="N13" s="251">
        <f t="shared" ref="N13" si="10">+SUM(N6:N12)</f>
        <v>1877099.4500000193</v>
      </c>
      <c r="O13" s="252">
        <f>+SUM(O6:O12)</f>
        <v>0</v>
      </c>
      <c r="P13" s="355">
        <f>IF(O13&lt;=0,0,Q13/O13)</f>
        <v>0</v>
      </c>
      <c r="Q13" s="356">
        <f>+SUM(Q6:Q12)</f>
        <v>0</v>
      </c>
      <c r="R13" s="252">
        <f t="shared" ref="R13" si="11">+SUM(R6:R12)</f>
        <v>756</v>
      </c>
      <c r="S13" s="356">
        <f>+SUM(S6:S12)</f>
        <v>1877099.4500000193</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1607</v>
      </c>
      <c r="K17" s="281">
        <f>IF(J17=0,0,L17/J17)</f>
        <v>612.29520846296896</v>
      </c>
      <c r="L17" s="266">
        <f>-SUMIFS(BV_Data_An_Cour!$AN:$AN,BV_Data_An_Cour!$AP:$AP,$B17,BV_Data_An_Cour!$AQ:$AQ,$C17,BV_Data_An_Cour!$AR:$AR,L$2)</f>
        <v>983958.39999999106</v>
      </c>
      <c r="M17" s="257">
        <f>J17-D17</f>
        <v>1607</v>
      </c>
      <c r="N17" s="246">
        <f>L17-F17</f>
        <v>983958.39999999106</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1607</v>
      </c>
      <c r="S17" s="266">
        <f>L17-Q17</f>
        <v>983958.39999999106</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10.071997354497356</v>
      </c>
      <c r="L21" s="266">
        <f>-SUMIFS(BV_Data_An_Cour!$AN:$AN,BV_Data_An_Cour!$AP:$AP,$B21,BV_Data_An_Cour!$AQ:$AQ,$C21,BV_Data_An_Cour!$AR:$AR,L$2)</f>
        <v>7614.43</v>
      </c>
      <c r="M21" s="245"/>
      <c r="N21" s="246">
        <f>L21-F21</f>
        <v>7614.43</v>
      </c>
      <c r="O21" s="245"/>
      <c r="P21" s="281">
        <f>IF(O13=0,0,Q21/(O13+O15))</f>
        <v>0</v>
      </c>
      <c r="Q21" s="266">
        <f>-SUMIFS(BV_Data_An_Prec!$AN:$AN,BV_Data_An_Prec!$AP:$AP,$B21,BV_Data_An_Prec!$AQ:$AQ,$C21,BV_Data_An_Prec!$AR:$AR,Q$2)</f>
        <v>0</v>
      </c>
      <c r="R21" s="267">
        <f>P21-K21</f>
        <v>-10.071997354497356</v>
      </c>
      <c r="S21" s="266">
        <f t="shared" ref="S21:S23" si="12">L21-Q21</f>
        <v>7614.43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672.1643121693121</v>
      </c>
      <c r="L22" s="266">
        <f>-SUMIFS(BV_Data_An_Cour!$AN:$AN,BV_Data_An_Cour!$AP:$AP,$B22,BV_Data_An_Cour!$AQ:$AQ,$C22,BV_Data_An_Cour!$AR:$AR,L$2)</f>
        <v>508156.22</v>
      </c>
      <c r="M22" s="245"/>
      <c r="N22" s="246">
        <f>L22-F22</f>
        <v>508156.22</v>
      </c>
      <c r="O22" s="245"/>
      <c r="P22" s="281">
        <f>IF(O13=0,0,Q22/(O13+O15))</f>
        <v>0</v>
      </c>
      <c r="Q22" s="266">
        <f>-SUMIFS(BV_Data_An_Prec!$AN:$AN,BV_Data_An_Prec!$AP:$AP,$B22,BV_Data_An_Prec!$AQ:$AQ,$C22,BV_Data_An_Prec!$AR:$AR,Q$2)</f>
        <v>0</v>
      </c>
      <c r="R22" s="267">
        <f t="shared" ref="R22:R23" si="13">P22-K22</f>
        <v>-672.1643121693121</v>
      </c>
      <c r="S22" s="266">
        <f t="shared" si="12"/>
        <v>508156.22</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57.821164021164009</v>
      </c>
      <c r="L23" s="266">
        <f>-SUMIFS(BV_Data_An_Cour!$AN:$AN,BV_Data_An_Cour!$AP:$AP,$B23,BV_Data_An_Cour!$AQ:$AQ,$C23,BV_Data_An_Cour!$AR:$AR,L$2)</f>
        <v>43712.799999999988</v>
      </c>
      <c r="M23" s="257"/>
      <c r="N23" s="246">
        <f>L23-F23</f>
        <v>43712.799999999988</v>
      </c>
      <c r="O23" s="245"/>
      <c r="P23" s="281">
        <f>IF(O13=0,0,Q23/(O13+O15))</f>
        <v>0</v>
      </c>
      <c r="Q23" s="266">
        <f>-SUMIFS(BV_Data_An_Prec!$AN:$AN,BV_Data_An_Prec!$AP:$AP,$B23,BV_Data_An_Prec!$AQ:$AQ,$C23,BV_Data_An_Prec!$AR:$AR,Q$2)</f>
        <v>0</v>
      </c>
      <c r="R23" s="267">
        <f t="shared" si="13"/>
        <v>-57.821164021164009</v>
      </c>
      <c r="S23" s="266">
        <f t="shared" si="12"/>
        <v>43712.799999999988</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756</v>
      </c>
      <c r="K24" s="355">
        <f>IF(J24&lt;=0,0,L24/J24)</f>
        <v>740.0574735449735</v>
      </c>
      <c r="L24" s="356">
        <f>L21+L22+L23</f>
        <v>559483.44999999995</v>
      </c>
      <c r="M24" s="265">
        <f>J24-D24</f>
        <v>756</v>
      </c>
      <c r="N24" s="251">
        <f>L24-F24</f>
        <v>559483.44999999995</v>
      </c>
      <c r="O24" s="252">
        <f>+O15+O13</f>
        <v>0</v>
      </c>
      <c r="P24" s="355">
        <f>IF(O24&lt;=0,0,Q24/O24)</f>
        <v>0</v>
      </c>
      <c r="Q24" s="356">
        <f>Q21+Q22+Q23</f>
        <v>0</v>
      </c>
      <c r="R24" s="337">
        <f>P24-K24</f>
        <v>-740.0574735449735</v>
      </c>
      <c r="S24" s="356">
        <f>L24-Q24</f>
        <v>559483.44999999995</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2363</v>
      </c>
      <c r="K27" s="269">
        <f>IF(J27&lt;=0,0,L27/J27)</f>
        <v>1447.5418112568811</v>
      </c>
      <c r="L27" s="271">
        <f>L13+L17+L24+L19+L15</f>
        <v>3420541.3000000101</v>
      </c>
      <c r="M27" s="272">
        <f>J27-D27</f>
        <v>2363</v>
      </c>
      <c r="N27" s="271">
        <f>L27-F27</f>
        <v>3420541.3000000101</v>
      </c>
      <c r="O27" s="272">
        <f>+O13+O15+O17</f>
        <v>0</v>
      </c>
      <c r="P27" s="269">
        <f>IF(O27&lt;=0,0,Q27/O27)</f>
        <v>0</v>
      </c>
      <c r="Q27" s="271">
        <f>Q13+Q17+Q24+Q19+Q15</f>
        <v>0</v>
      </c>
      <c r="R27" s="272">
        <f>J27-O27</f>
        <v>2363</v>
      </c>
      <c r="S27" s="271">
        <f>L27-Q27</f>
        <v>3420541.3000000101</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0.2278166133550909</v>
      </c>
      <c r="K31" s="281">
        <f>IF(L31=0,0,L31/J$24)</f>
        <v>862.16469576719578</v>
      </c>
      <c r="L31" s="266">
        <f>SUMIFS(BV_Data_An_Cour!$AN:$AN,BV_Data_An_Cour!$AP:$AP,$B31,BV_Data_An_Cour!$AQ:$AQ,$C31,BV_Data_An_Cour!$AR:$AR,L$2)</f>
        <v>651796.51</v>
      </c>
      <c r="M31" s="243"/>
      <c r="N31" s="266">
        <f t="shared" ref="N31:N53" si="15">L31-F31</f>
        <v>651796.51</v>
      </c>
      <c r="O31" s="282" t="e">
        <f>Q31/(Q15+Q13+Q17)</f>
        <v>#DIV/0!</v>
      </c>
      <c r="P31" s="281">
        <f t="shared" ref="P31:P40" si="16">IF(Q31=0,0,Q31/O$24)</f>
        <v>0</v>
      </c>
      <c r="Q31" s="266">
        <f>SUMIFS(BV_Data_An_Prec!$AN:$AN,BV_Data_An_Prec!$AP:$AP,$B31,BV_Data_An_Prec!$AQ:$AQ,$C31,BV_Data_An_Prec!$AR:$AR,Q$2)</f>
        <v>0</v>
      </c>
      <c r="R31" s="243"/>
      <c r="S31" s="266">
        <f>L31-Q31</f>
        <v>651796.51</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0.27945284172391516</v>
      </c>
      <c r="K32" s="284">
        <f t="shared" ref="K32:K39" si="17">IF(L32=0,0,L32/J$24)</f>
        <v>206.81116402116402</v>
      </c>
      <c r="L32" s="266">
        <f>SUMIFS(BV_Data_An_Cour!$AN:$AN,BV_Data_An_Cour!$AP:$AP,$B32,BV_Data_An_Cour!$AQ:$AQ,$C32,BV_Data_An_Cour!$AR:$AR,L$2)</f>
        <v>156349.24</v>
      </c>
      <c r="M32" s="238"/>
      <c r="N32" s="286">
        <f t="shared" si="15"/>
        <v>156349.24</v>
      </c>
      <c r="O32" s="285" t="e">
        <f>Q32/Q24</f>
        <v>#DIV/0!</v>
      </c>
      <c r="P32" s="284">
        <f t="shared" si="16"/>
        <v>0</v>
      </c>
      <c r="Q32" s="286">
        <f>SUMIFS(BV_Data_An_Prec!$AN:$AN,BV_Data_An_Prec!$AP:$AP,$B32,BV_Data_An_Prec!$AQ:$AQ,$C32,BV_Data_An_Prec!$AR:$AR,Q$2)</f>
        <v>0</v>
      </c>
      <c r="R32" s="238"/>
      <c r="S32" s="286">
        <f t="shared" ref="S32:S39" si="18">L32-Q32</f>
        <v>156349.24</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-76.173280423280417</v>
      </c>
      <c r="L33" s="954">
        <f>SUMIFS(BV_Data_An_Cour!$AN:$AN,BV_Data_An_Cour!$AP:$AP,$B33,BV_Data_An_Cour!$AQ:$AQ,$C33,BV_Data_An_Cour!$AR:$AR,L$2)</f>
        <v>-57587</v>
      </c>
      <c r="M33" s="243"/>
      <c r="N33" s="266">
        <f t="shared" si="15"/>
        <v>-57587</v>
      </c>
      <c r="O33" s="243"/>
      <c r="P33" s="281">
        <f t="shared" si="16"/>
        <v>0</v>
      </c>
      <c r="Q33" s="266">
        <f>SUMIFS(BV_Data_An_Prec!$AN:$AN,BV_Data_An_Prec!$AP:$AP,$B33,BV_Data_An_Prec!$AQ:$AQ,$C33,BV_Data_An_Prec!$AR:$AR,Q$2)</f>
        <v>0</v>
      </c>
      <c r="R33" s="243"/>
      <c r="S33" s="266">
        <f t="shared" si="18"/>
        <v>-57587</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8.8531084656084662</v>
      </c>
      <c r="L34" s="266">
        <f>SUMIFS(BV_Data_An_Cour!$AN:$AN,BV_Data_An_Cour!$AP:$AP,$B34,BV_Data_An_Cour!$AQ:$AQ,$C34,BV_Data_An_Cour!$AR:$AR,L$2)</f>
        <v>6692.95</v>
      </c>
      <c r="M34" s="243"/>
      <c r="N34" s="266">
        <f t="shared" si="15"/>
        <v>6692.95</v>
      </c>
      <c r="O34" s="243"/>
      <c r="P34" s="281">
        <f t="shared" si="16"/>
        <v>0</v>
      </c>
      <c r="Q34" s="266">
        <f>SUMIFS(BV_Data_An_Prec!$AN:$AN,BV_Data_An_Prec!$AP:$AP,$B34,BV_Data_An_Prec!$AQ:$AQ,$C34,BV_Data_An_Prec!$AR:$AR,Q$2)</f>
        <v>0</v>
      </c>
      <c r="R34" s="243"/>
      <c r="S34" s="266">
        <f t="shared" si="18"/>
        <v>6692.95</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-459.37279100529105</v>
      </c>
      <c r="L36" s="954">
        <f>SUMIFS(BV_Data_An_Cour!$AN:$AN,BV_Data_An_Cour!$AP:$AP,$B36,BV_Data_An_Cour!$AQ:$AQ,$C36,BV_Data_An_Cour!$AR:$AR,L$2)</f>
        <v>-347285.83</v>
      </c>
      <c r="M36" s="243"/>
      <c r="N36" s="266">
        <f t="shared" si="15"/>
        <v>-347285.83</v>
      </c>
      <c r="O36" s="243"/>
      <c r="P36" s="281">
        <f t="shared" si="16"/>
        <v>0</v>
      </c>
      <c r="Q36" s="266">
        <f>SUMIFS(BV_Data_An_Prec!$AN:$AN,BV_Data_An_Prec!$AP:$AP,$B36,BV_Data_An_Prec!$AQ:$AQ,$C36,BV_Data_An_Prec!$AR:$AR,Q$2)</f>
        <v>0</v>
      </c>
      <c r="R36" s="243"/>
      <c r="S36" s="266">
        <f t="shared" si="18"/>
        <v>-347285.83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1334.8437169312169</v>
      </c>
      <c r="L37" s="266">
        <f>SUMIFS(BV_Data_An_Cour!$AN:$AN,BV_Data_An_Cour!$AP:$AP,$B37,BV_Data_An_Cour!$AQ:$AQ,$C37,BV_Data_An_Cour!$AR:$AR,L$2)</f>
        <v>1009141.85</v>
      </c>
      <c r="M37" s="243"/>
      <c r="N37" s="658">
        <f t="shared" si="15"/>
        <v>1009141.85</v>
      </c>
      <c r="O37" s="243"/>
      <c r="P37" s="281">
        <f t="shared" si="16"/>
        <v>0</v>
      </c>
      <c r="Q37" s="266">
        <f>SUMIFS(BV_Data_An_Prec!$AN:$AN,BV_Data_An_Prec!$AP:$AP,$B37,BV_Data_An_Prec!$AQ:$AQ,$C37,BV_Data_An_Prec!$AR:$AR,Q$2)</f>
        <v>0</v>
      </c>
      <c r="R37" s="243"/>
      <c r="S37" s="266">
        <f t="shared" si="18"/>
        <v>1009141.85</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3128</v>
      </c>
      <c r="D38" s="287"/>
      <c r="E38" s="281" t="e">
        <f t="shared" si="14"/>
        <v>#DIV/0!</v>
      </c>
      <c r="F38" s="244" cm="1">
        <f t="array" ref="F38">+SUMPRODUCT(('Budget original'!$A$8:$A$501=$A38)*('Budget original'!$C$3:$AO$3=F$2),'Budget original'!$C$8:$AO$501)</f>
        <v>0</v>
      </c>
      <c r="G38" s="288"/>
      <c r="H38" s="281"/>
      <c r="I38" s="244"/>
      <c r="J38" s="243"/>
      <c r="K38" s="281">
        <f t="shared" si="17"/>
        <v>-4131.8904629629633</v>
      </c>
      <c r="L38" s="266">
        <f>SUMIFS(BV_Data_An_Cour!$AN:$AN,BV_Data_An_Cour!$AP:$AP,$B38,BV_Data_An_Cour!$AQ:$AQ,$C38,BV_Data_An_Cour!$AR:$AR,L$2)</f>
        <v>-3123709.19</v>
      </c>
      <c r="M38" s="38"/>
      <c r="N38" s="266">
        <f t="shared" si="15"/>
        <v>-3123709.19</v>
      </c>
      <c r="O38" s="243"/>
      <c r="P38" s="281">
        <f t="shared" si="16"/>
        <v>0</v>
      </c>
      <c r="Q38" s="266">
        <f>SUMIFS(BV_Data_An_Prec!$AN:$AN,BV_Data_An_Prec!$AP:$AP,$B38,BV_Data_An_Prec!$AQ:$AQ,$C38,BV_Data_An_Prec!$AR:$AR,Q$2)</f>
        <v>0</v>
      </c>
      <c r="R38" s="243"/>
      <c r="S38" s="266">
        <f t="shared" si="18"/>
        <v>-3123709.19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3129</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-0.49834260735281721</v>
      </c>
      <c r="L41" s="294">
        <f>SUM(L31:L40)</f>
        <v>-1704601.47</v>
      </c>
      <c r="M41" s="296"/>
      <c r="N41" s="294">
        <f t="shared" si="15"/>
        <v>-1704601.47</v>
      </c>
      <c r="O41" s="295" t="s">
        <v>115</v>
      </c>
      <c r="P41" s="293" t="e">
        <f>Q41/Q$27</f>
        <v>#DIV/0!</v>
      </c>
      <c r="Q41" s="294">
        <f>SUM(Q31:Q40)</f>
        <v>0</v>
      </c>
      <c r="R41" s="297"/>
      <c r="S41" s="294">
        <f t="shared" si="20"/>
        <v>-1704601.47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169977.2</v>
      </c>
      <c r="M42" s="243"/>
      <c r="N42" s="266">
        <f t="shared" si="15"/>
        <v>169977.2</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323031.2</v>
      </c>
      <c r="M43" s="243"/>
      <c r="N43" s="266">
        <f t="shared" si="15"/>
        <v>323031.2</v>
      </c>
      <c r="O43" s="243"/>
      <c r="P43" s="38"/>
      <c r="Q43" s="286">
        <f>SUMIFS(BV_Data_An_Prec!$AN:$AN,BV_Data_An_Prec!$AP:$AP,$B43,BV_Data_An_Prec!$AQ:$AQ,$C43,BV_Data_An_Prec!$AR:$AR,Q$2)</f>
        <v>0</v>
      </c>
      <c r="R43" s="243"/>
      <c r="S43" s="266">
        <f t="shared" ref="S43:S53" si="21">L43-Q43</f>
        <v>323031.2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41995.49</v>
      </c>
      <c r="M44" s="233"/>
      <c r="N44" s="303">
        <f t="shared" si="15"/>
        <v>41995.49</v>
      </c>
      <c r="O44" s="233"/>
      <c r="P44" s="301"/>
      <c r="Q44" s="281">
        <f>SUMIFS(BV_Data_An_Prec!$AN:$AN,BV_Data_An_Prec!$AP:$AP,$B44,BV_Data_An_Prec!$AQ:$AQ,$C44,BV_Data_An_Prec!$AR:$AR,Q$2)</f>
        <v>0</v>
      </c>
      <c r="R44" s="233"/>
      <c r="S44" s="303">
        <f t="shared" si="21"/>
        <v>41995.49</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132603.98000000001</v>
      </c>
      <c r="M49" s="243"/>
      <c r="N49" s="266">
        <f t="shared" si="15"/>
        <v>132603.98000000001</v>
      </c>
      <c r="O49" s="243"/>
      <c r="P49" s="38"/>
      <c r="Q49" s="286">
        <f>SUMIFS(BV_Data_An_Prec!$AN:$AN,BV_Data_An_Prec!$AP:$AP,$B49,BV_Data_An_Prec!$AQ:$AQ,$C49,BV_Data_An_Prec!$AR:$AR,Q$2)</f>
        <v>0</v>
      </c>
      <c r="R49" s="243"/>
      <c r="S49" s="266">
        <f t="shared" si="21"/>
        <v>132603.98000000001</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226649.79</v>
      </c>
      <c r="M50" s="233"/>
      <c r="N50" s="303">
        <f t="shared" si="15"/>
        <v>226649.79</v>
      </c>
      <c r="O50" s="233"/>
      <c r="P50" s="301"/>
      <c r="Q50" s="281">
        <f>SUMIFS(BV_Data_An_Prec!$AN:$AN,BV_Data_An_Prec!$AP:$AP,$B50,BV_Data_An_Prec!$AQ:$AQ,$C50,BV_Data_An_Prec!$AR:$AR,Q$2)</f>
        <v>0</v>
      </c>
      <c r="R50" s="233"/>
      <c r="S50" s="303">
        <f t="shared" si="21"/>
        <v>226649.79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88098.38</v>
      </c>
      <c r="M51" s="243"/>
      <c r="N51" s="266">
        <f t="shared" si="15"/>
        <v>88098.38</v>
      </c>
      <c r="O51" s="243"/>
      <c r="P51" s="38"/>
      <c r="Q51" s="281">
        <f>SUMIFS(BV_Data_An_Prec!$AN:$AN,BV_Data_An_Prec!$AP:$AP,$B51,BV_Data_An_Prec!$AQ:$AQ,$C51,BV_Data_An_Prec!$AR:$AR,Q$2)</f>
        <v>0</v>
      </c>
      <c r="R51" s="243"/>
      <c r="S51" s="266">
        <f t="shared" si="21"/>
        <v>88098.38</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-6656.61</v>
      </c>
      <c r="M52" s="243"/>
      <c r="N52" s="266">
        <f t="shared" si="15"/>
        <v>-6656.61</v>
      </c>
      <c r="O52" s="243"/>
      <c r="P52" s="38"/>
      <c r="Q52" s="281">
        <f>SUMIFS(BV_Data_An_Prec!$AN:$AN,BV_Data_An_Prec!$AP:$AP,$B52,BV_Data_An_Prec!$AQ:$AQ,$C52,BV_Data_An_Prec!$AR:$AR,Q$2)</f>
        <v>0</v>
      </c>
      <c r="R52" s="243"/>
      <c r="S52" s="266">
        <f t="shared" si="21"/>
        <v>-6656.61</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0.28524708355370454</v>
      </c>
      <c r="L54" s="294">
        <f>+SUM(L42:L53)</f>
        <v>975699.43</v>
      </c>
      <c r="M54" s="296"/>
      <c r="N54" s="294">
        <f>+SUM(N42:N53)</f>
        <v>975699.43</v>
      </c>
      <c r="O54" s="295" t="s">
        <v>115</v>
      </c>
      <c r="P54" s="293" t="e">
        <f>Q54/Q$27</f>
        <v>#DIV/0!</v>
      </c>
      <c r="Q54" s="294">
        <f>+SUM(Q42:Q53)</f>
        <v>0</v>
      </c>
      <c r="R54" s="297"/>
      <c r="S54" s="294">
        <f>+SUM(S42:S53)</f>
        <v>805722.2300000001</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138425.68</v>
      </c>
      <c r="M57" s="238"/>
      <c r="N57" s="286">
        <f t="shared" si="22"/>
        <v>138425.68</v>
      </c>
      <c r="O57" s="238"/>
      <c r="P57" s="304"/>
      <c r="Q57" s="286">
        <f>SUMIFS(BV_Data_An_Prec!$AN:$AN,BV_Data_An_Prec!$AP:$AP,$B57,BV_Data_An_Prec!$AQ:$AQ,$C57,BV_Data_An_Prec!$AR:$AR,Q$2)</f>
        <v>0</v>
      </c>
      <c r="R57" s="238"/>
      <c r="S57" s="286">
        <f t="shared" si="23"/>
        <v>138425.68</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50643.05</v>
      </c>
      <c r="M58" s="243"/>
      <c r="N58" s="266">
        <f t="shared" si="22"/>
        <v>50643.05</v>
      </c>
      <c r="O58" s="243"/>
      <c r="P58" s="38"/>
      <c r="Q58" s="266">
        <f>SUMIFS(BV_Data_An_Prec!$AN:$AN,BV_Data_An_Prec!$AP:$AP,$B58,BV_Data_An_Prec!$AQ:$AQ,$C58,BV_Data_An_Prec!$AR:$AR,Q$2)</f>
        <v>0</v>
      </c>
      <c r="R58" s="243"/>
      <c r="S58" s="266">
        <f t="shared" si="23"/>
        <v>50643.05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43975.390000000007</v>
      </c>
      <c r="M59" s="243"/>
      <c r="N59" s="266">
        <f t="shared" si="22"/>
        <v>43975.390000000007</v>
      </c>
      <c r="O59" s="243"/>
      <c r="P59" s="38"/>
      <c r="Q59" s="266">
        <f>SUMIFS(BV_Data_An_Prec!$AN:$AN,BV_Data_An_Prec!$AP:$AP,$B59,BV_Data_An_Prec!$AQ:$AQ,$C59,BV_Data_An_Prec!$AR:$AR,Q$2)</f>
        <v>0</v>
      </c>
      <c r="R59" s="243"/>
      <c r="S59" s="266">
        <f t="shared" si="23"/>
        <v>43975.390000000007</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86098.82</v>
      </c>
      <c r="M60" s="238"/>
      <c r="N60" s="286">
        <f t="shared" si="22"/>
        <v>86098.82</v>
      </c>
      <c r="O60" s="238"/>
      <c r="P60" s="304"/>
      <c r="Q60" s="286">
        <f>SUMIFS(BV_Data_An_Prec!$AN:$AN,BV_Data_An_Prec!$AP:$AP,$B60,BV_Data_An_Prec!$AQ:$AQ,$C60,BV_Data_An_Prec!$AR:$AR,Q$2)</f>
        <v>0</v>
      </c>
      <c r="R60" s="238"/>
      <c r="S60" s="286">
        <f t="shared" si="23"/>
        <v>86098.82</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7111.2</v>
      </c>
      <c r="M61" s="243"/>
      <c r="N61" s="266">
        <f t="shared" si="22"/>
        <v>7111.2</v>
      </c>
      <c r="O61" s="243"/>
      <c r="P61" s="38"/>
      <c r="Q61" s="266">
        <f>SUMIFS(BV_Data_An_Prec!$AN:$AN,BV_Data_An_Prec!$AP:$AP,$B61,BV_Data_An_Prec!$AQ:$AQ,$C61,BV_Data_An_Prec!$AR:$AR,Q$2)</f>
        <v>0</v>
      </c>
      <c r="R61" s="243"/>
      <c r="S61" s="266">
        <f t="shared" si="23"/>
        <v>7111.2</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25484</v>
      </c>
      <c r="M63" s="243"/>
      <c r="N63" s="266">
        <f t="shared" si="22"/>
        <v>25484</v>
      </c>
      <c r="O63" s="243"/>
      <c r="P63" s="38"/>
      <c r="Q63" s="266">
        <f>SUMIFS(BV_Data_An_Prec!$AN:$AN,BV_Data_An_Prec!$AP:$AP,$B63,BV_Data_An_Prec!$AQ:$AQ,$C63,BV_Data_An_Prec!$AR:$AR,Q$2)</f>
        <v>0</v>
      </c>
      <c r="R63" s="243"/>
      <c r="S63" s="266">
        <f t="shared" si="23"/>
        <v>25484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10073.33</v>
      </c>
      <c r="M64" s="243"/>
      <c r="N64" s="266">
        <f t="shared" si="22"/>
        <v>10073.33</v>
      </c>
      <c r="O64" s="243"/>
      <c r="P64" s="38"/>
      <c r="Q64" s="266">
        <f>SUMIFS(BV_Data_An_Prec!$AN:$AN,BV_Data_An_Prec!$AP:$AP,$B64,BV_Data_An_Prec!$AQ:$AQ,$C64,BV_Data_An_Prec!$AR:$AR,Q$2)</f>
        <v>0</v>
      </c>
      <c r="R64" s="243"/>
      <c r="S64" s="266">
        <f t="shared" si="23"/>
        <v>10073.33</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11511.44</v>
      </c>
      <c r="M65" s="243"/>
      <c r="N65" s="266">
        <f t="shared" si="22"/>
        <v>11511.44</v>
      </c>
      <c r="O65" s="243"/>
      <c r="P65" s="38"/>
      <c r="Q65" s="266">
        <f>SUMIFS(BV_Data_An_Prec!$AN:$AN,BV_Data_An_Prec!$AP:$AP,$B65,BV_Data_An_Prec!$AQ:$AQ,$C65,BV_Data_An_Prec!$AR:$AR,Q$2)</f>
        <v>0</v>
      </c>
      <c r="R65" s="243"/>
      <c r="S65" s="266">
        <f t="shared" si="23"/>
        <v>11511.44</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38627.03</v>
      </c>
      <c r="M66" s="243"/>
      <c r="N66" s="266">
        <f t="shared" si="22"/>
        <v>38627.03</v>
      </c>
      <c r="O66" s="243"/>
      <c r="P66" s="38"/>
      <c r="Q66" s="266">
        <f>SUMIFS(BV_Data_An_Prec!$AN:$AN,BV_Data_An_Prec!$AP:$AP,$B66,BV_Data_An_Prec!$AQ:$AQ,$C66,BV_Data_An_Prec!$AR:$AR,Q$2)</f>
        <v>0</v>
      </c>
      <c r="R66" s="243"/>
      <c r="S66" s="266">
        <f t="shared" si="23"/>
        <v>38627.03</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8801.0300000000007</v>
      </c>
      <c r="M67" s="243"/>
      <c r="N67" s="266">
        <f t="shared" si="22"/>
        <v>8801.0300000000007</v>
      </c>
      <c r="O67" s="243"/>
      <c r="P67" s="38"/>
      <c r="Q67" s="266">
        <f>SUMIFS(BV_Data_An_Prec!$AN:$AN,BV_Data_An_Prec!$AP:$AP,$B67,BV_Data_An_Prec!$AQ:$AQ,$C67,BV_Data_An_Prec!$AR:$AR,Q$2)</f>
        <v>0</v>
      </c>
      <c r="R67" s="243"/>
      <c r="S67" s="266">
        <f t="shared" si="23"/>
        <v>8801.0300000000007</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6036.62</v>
      </c>
      <c r="M68" s="243"/>
      <c r="N68" s="658">
        <f t="shared" si="22"/>
        <v>6036.62</v>
      </c>
      <c r="O68" s="243"/>
      <c r="P68" s="38"/>
      <c r="Q68" s="266">
        <f>SUMIFS(BV_Data_An_Prec!$AN:$AN,BV_Data_An_Prec!$AP:$AP,$B68,BV_Data_An_Prec!$AQ:$AQ,$C68,BV_Data_An_Prec!$AR:$AR,Q$2)</f>
        <v>0</v>
      </c>
      <c r="R68" s="243"/>
      <c r="S68" s="266">
        <f t="shared" si="23"/>
        <v>6036.62</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0.12477194472114657</v>
      </c>
      <c r="L72" s="294">
        <f>+SUM(L55:L71)</f>
        <v>426787.59000000008</v>
      </c>
      <c r="M72" s="296"/>
      <c r="N72" s="294">
        <f>+SUM(N55:N71)</f>
        <v>426787.59000000008</v>
      </c>
      <c r="O72" s="295" t="s">
        <v>115</v>
      </c>
      <c r="P72" s="293" t="e">
        <f>Q72/Q$27</f>
        <v>#DIV/0!</v>
      </c>
      <c r="Q72" s="294">
        <f>+SUM(Q55:Q71)</f>
        <v>0</v>
      </c>
      <c r="R72" s="297"/>
      <c r="S72" s="294">
        <f>+SUM(S55:S71)</f>
        <v>426787.59000000008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-8.8323579077966091E-2</v>
      </c>
      <c r="L74" s="294">
        <f>L41+L54+L72</f>
        <v>-302114.44999999984</v>
      </c>
      <c r="M74" s="296"/>
      <c r="N74" s="294">
        <f t="shared" ref="N74:N82" si="24">L74-F74</f>
        <v>-302114.44999999984</v>
      </c>
      <c r="O74" s="295" t="s">
        <v>115</v>
      </c>
      <c r="P74" s="293" t="e">
        <f>Q74/Q$27</f>
        <v>#DIV/0!</v>
      </c>
      <c r="Q74" s="294">
        <f>Q41+Q54+Q72</f>
        <v>0</v>
      </c>
      <c r="R74" s="297"/>
      <c r="S74" s="294">
        <f>L74-Q74</f>
        <v>-302114.44999999984</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3135</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332501.82</v>
      </c>
      <c r="M75" s="243"/>
      <c r="N75" s="266">
        <f t="shared" si="24"/>
        <v>332501.82</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332501.82</v>
      </c>
      <c r="M83" s="296"/>
      <c r="N83" s="294">
        <f>+SUM(N75:N82)</f>
        <v>332501.82</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4055157.5700000096</v>
      </c>
      <c r="M85" s="960"/>
      <c r="N85" s="958">
        <f>N27-N41-N54-N72+N83</f>
        <v>4055157.5700000091</v>
      </c>
      <c r="O85" s="959"/>
      <c r="P85" s="957"/>
      <c r="Q85" s="958">
        <f>Q27-Q74+Q83</f>
        <v>0</v>
      </c>
      <c r="R85" s="961"/>
      <c r="S85" s="958">
        <f>L85-Q85</f>
        <v>4055157.5700000096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Décembre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7" t="s">
        <v>339</v>
      </c>
      <c r="E91" s="1072"/>
      <c r="F91" s="1073"/>
      <c r="G91" s="1074"/>
      <c r="H91" s="1072"/>
      <c r="I91" s="1073"/>
      <c r="J91" s="1074" t="s">
        <v>340</v>
      </c>
      <c r="K91" s="1072"/>
      <c r="L91" s="1073"/>
      <c r="M91" s="1074" t="s">
        <v>668</v>
      </c>
      <c r="N91" s="1073"/>
      <c r="O91" s="1067" t="s">
        <v>341</v>
      </c>
      <c r="P91" s="1072"/>
      <c r="Q91" s="1073"/>
      <c r="R91" s="1066" t="s">
        <v>670</v>
      </c>
      <c r="S91" s="1075"/>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28121030.999999996</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130</v>
      </c>
      <c r="K95" s="281">
        <f t="shared" si="28"/>
        <v>408.36853846153963</v>
      </c>
      <c r="L95" s="266">
        <f>-SUMIFS(BV_Data_An_Cour!$AN:$AN,BV_Data_An_Cour!$AP:$AP,$B95,BV_Data_An_Cour!$AQ:$AQ,$C95,BV_Data_An_Cour!$AR:$AR,$L2)</f>
        <v>53087.910000000149</v>
      </c>
      <c r="M95" s="245">
        <f>J95-D95</f>
        <v>130</v>
      </c>
      <c r="N95" s="246">
        <f>L95-F95</f>
        <v>53087.910000000149</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130</v>
      </c>
      <c r="S95" s="266">
        <f t="shared" si="31"/>
        <v>53087.910000000149</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130</v>
      </c>
      <c r="K97" s="305">
        <f>IF(J97&lt;=0,0,L97/J97)</f>
        <v>408.36853846153963</v>
      </c>
      <c r="L97" s="356">
        <f>+L94+L95+L96</f>
        <v>53087.910000000149</v>
      </c>
      <c r="M97" s="252">
        <f>J97-D97</f>
        <v>130</v>
      </c>
      <c r="N97" s="251">
        <f>L97-F97</f>
        <v>53087.910000000149</v>
      </c>
      <c r="O97" s="250">
        <f>+O94+O95+O96</f>
        <v>0</v>
      </c>
      <c r="P97" s="305">
        <f>IF(O97&lt;=0,0,Q97/O97)</f>
        <v>0</v>
      </c>
      <c r="Q97" s="356">
        <f>+Q94+Q95+Q96</f>
        <v>0</v>
      </c>
      <c r="R97" s="252">
        <f>R94+R95</f>
        <v>130</v>
      </c>
      <c r="S97" s="356">
        <f>S94+S95</f>
        <v>53087.910000000149</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654</v>
      </c>
      <c r="K101" s="281">
        <f t="shared" si="34"/>
        <v>801.70237003057764</v>
      </c>
      <c r="L101" s="266">
        <f>-SUMIFS(BV_Data_An_Cour!$AN:$AN,BV_Data_An_Cour!$AP:$AP,$B101,BV_Data_An_Cour!$AQ:$AQ,$C101,BV_Data_An_Cour!$AR:$AR,L$2)</f>
        <v>524313.34999999776</v>
      </c>
      <c r="M101" s="245">
        <f>J101-D101</f>
        <v>654</v>
      </c>
      <c r="N101" s="246">
        <f>L101-F101</f>
        <v>524313.34999999776</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654</v>
      </c>
      <c r="S101" s="266">
        <f t="shared" ref="S101" si="39">L101-Q101</f>
        <v>524313.34999999776</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280.35938461538461</v>
      </c>
      <c r="L103" s="266">
        <f>-SUMIFS(BV_Data_An_Cour!$AN:$AN,BV_Data_An_Cour!$AP:$AP,$B103,BV_Data_An_Cour!$AQ:$AQ,$C103,BV_Data_An_Cour!$AR:$AR,$L2)</f>
        <v>36446.720000000001</v>
      </c>
      <c r="M103" s="245"/>
      <c r="N103" s="246">
        <f>L103-F103</f>
        <v>36446.720000000001</v>
      </c>
      <c r="O103" s="245"/>
      <c r="P103" s="281">
        <f>IF(O97=0,0,Q103/O97)</f>
        <v>0</v>
      </c>
      <c r="Q103" s="266">
        <f>-SUMIFS(BV_Data_An_Prec!$AN:$AN,BV_Data_An_Prec!$AP:$AP,$B103,BV_Data_An_Prec!$AQ:$AQ,$C103,BV_Data_An_Prec!$AR:$AR,$L2)</f>
        <v>0</v>
      </c>
      <c r="R103" s="267">
        <f>P103-K103</f>
        <v>-280.35938461538461</v>
      </c>
      <c r="S103" s="266">
        <f t="shared" ref="S103:S105" si="41">L103-Q103</f>
        <v>36446.720000000001</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733.96661538461547</v>
      </c>
      <c r="L104" s="266">
        <f>-SUMIFS(BV_Data_An_Cour!$AN:$AN,BV_Data_An_Cour!$AP:$AP,$B104,BV_Data_An_Cour!$AQ:$AQ,$C104,BV_Data_An_Cour!$AR:$AR,$L2)</f>
        <v>95415.66</v>
      </c>
      <c r="M104" s="245"/>
      <c r="N104" s="246">
        <f>L104-F104</f>
        <v>95415.66</v>
      </c>
      <c r="O104" s="245"/>
      <c r="P104" s="281">
        <f>IF(O97=0,0,Q104/O97)</f>
        <v>0</v>
      </c>
      <c r="Q104" s="266">
        <f>-SUMIFS(BV_Data_An_Prec!$AN:$AN,BV_Data_An_Prec!$AP:$AP,$B104,BV_Data_An_Prec!$AQ:$AQ,$C104,BV_Data_An_Prec!$AR:$AR,$L2)</f>
        <v>0</v>
      </c>
      <c r="R104" s="267">
        <f t="shared" ref="R104:R106" si="42">P104-K104</f>
        <v>-733.96661538461547</v>
      </c>
      <c r="S104" s="266">
        <f t="shared" si="41"/>
        <v>95415.66</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130</v>
      </c>
      <c r="K106" s="355">
        <f>IF(J106&lt;=0,0,L106/J106)</f>
        <v>1014.326</v>
      </c>
      <c r="L106" s="356">
        <f>L103+L104+L105</f>
        <v>131862.38</v>
      </c>
      <c r="M106" s="265">
        <f>J106-D106</f>
        <v>130</v>
      </c>
      <c r="N106" s="251">
        <f>L106-F106</f>
        <v>131862.38</v>
      </c>
      <c r="O106" s="252">
        <f>O97</f>
        <v>0</v>
      </c>
      <c r="P106" s="355">
        <f>IF(O106&lt;=0,0,Q106/O106)</f>
        <v>0</v>
      </c>
      <c r="Q106" s="356">
        <f>Q103+Q104+Q105</f>
        <v>0</v>
      </c>
      <c r="R106" s="357">
        <f t="shared" si="42"/>
        <v>-1014.326</v>
      </c>
      <c r="S106" s="356">
        <f>L106-Q106</f>
        <v>131862.38</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784</v>
      </c>
      <c r="K109" s="269">
        <f>IF(J109&lt;=0,0,L109/J109)</f>
        <v>904.67301020407899</v>
      </c>
      <c r="L109" s="271">
        <f>L97+L106+L101+L99</f>
        <v>709263.63999999792</v>
      </c>
      <c r="M109" s="272">
        <f>J109-D109</f>
        <v>784</v>
      </c>
      <c r="N109" s="271">
        <f>N97+N106+N101+N99</f>
        <v>709263.63999999792</v>
      </c>
      <c r="O109" s="272">
        <f>O97+O101</f>
        <v>0</v>
      </c>
      <c r="P109" s="269">
        <f>IF(O109&lt;=0,0,Q109/O109)</f>
        <v>0</v>
      </c>
      <c r="Q109" s="271">
        <f>Q97+Q106+Q101+Q99</f>
        <v>0</v>
      </c>
      <c r="R109" s="272">
        <f>J109-O109</f>
        <v>784</v>
      </c>
      <c r="S109" s="271">
        <f>S97+S106+S101+S99</f>
        <v>709263.63999999792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1.3640488013184131</v>
      </c>
      <c r="K113" s="281">
        <f>IF($J$97=0,0,L113/(J$94+J$95+J96))</f>
        <v>557.03461538461534</v>
      </c>
      <c r="L113" s="266">
        <f>SUMIFS(BV_Data_An_Cour!$AN:$AN,BV_Data_An_Cour!$AP:$AP,$B113,BV_Data_An_Cour!$AQ:$AQ,$C113,BV_Data_An_Cour!$AR:$AR,$L$2)</f>
        <v>72414.5</v>
      </c>
      <c r="M113" s="243"/>
      <c r="N113" s="266">
        <f t="shared" ref="N113:N154" si="44">L113-F113</f>
        <v>72414.5</v>
      </c>
      <c r="O113" s="282" t="e">
        <f>Q113/Q97</f>
        <v>#DIV/0!</v>
      </c>
      <c r="P113" s="281" t="e">
        <f>IF($J$97=0,0,Q113/(O$94+O$95+O96))</f>
        <v>#DIV/0!</v>
      </c>
      <c r="Q113" s="266">
        <f>SUMIFS(BV_Data_An_Prec!$AN:$AN,BV_Data_An_Prec!$AP:$AP,$B113,BV_Data_An_Prec!$AQ:$AQ,$C113,BV_Data_An_Prec!$AR:$AR,$L$2)</f>
        <v>0</v>
      </c>
      <c r="R113" s="243"/>
      <c r="S113" s="266">
        <f>L113-Q113</f>
        <v>72414.5</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0.25488171834908485</v>
      </c>
      <c r="K114" s="284">
        <f>IF($J$97=0,0,L114/(J$94+J$95+J96))</f>
        <v>258.53315384615382</v>
      </c>
      <c r="L114" s="266">
        <f>SUMIFS(BV_Data_An_Cour!$AN:$AN,BV_Data_An_Cour!$AP:$AP,$B114,BV_Data_An_Cour!$AQ:$AQ,$C114,BV_Data_An_Cour!$AR:$AR,$L$2)</f>
        <v>33609.31</v>
      </c>
      <c r="M114" s="238"/>
      <c r="N114" s="286">
        <f t="shared" si="44"/>
        <v>33609.31</v>
      </c>
      <c r="O114" s="285" t="e">
        <f>Q114/(Q106)</f>
        <v>#DIV/0!</v>
      </c>
      <c r="P114" s="284" t="e">
        <f>IF($J$97=0,0,Q114/(O$94+O$95+O96))</f>
        <v>#DIV/0!</v>
      </c>
      <c r="Q114" s="266">
        <f>SUMIFS(BV_Data_An_Prec!$AN:$AN,BV_Data_An_Prec!$AP:$AP,$B114,BV_Data_An_Prec!$AQ:$AQ,$C114,BV_Data_An_Prec!$AR:$AR,$L$2)</f>
        <v>0</v>
      </c>
      <c r="R114" s="238"/>
      <c r="S114" s="286">
        <f t="shared" ref="S114:S166" si="45">L114-Q114</f>
        <v>33609.31</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-130.03546153846153</v>
      </c>
      <c r="L115" s="303">
        <f>SUMIFS(BV_Data_An_Cour!$AN:$AN,BV_Data_An_Cour!$AP:$AP,$B115,BV_Data_An_Cour!$AQ:$AQ,$C115,BV_Data_An_Cour!$AR:$AR,$L$2)</f>
        <v>-16904.61</v>
      </c>
      <c r="M115" s="243"/>
      <c r="N115" s="266">
        <f t="shared" si="44"/>
        <v>-16904.61</v>
      </c>
      <c r="O115" s="243"/>
      <c r="P115" s="281" t="e">
        <f>IF($J$97=0,0,Q115/(O$94+O$95+O96))</f>
        <v>#DIV/0!</v>
      </c>
      <c r="Q115" s="303">
        <f>SUMIFS(BV_Data_An_Prec!$AN:$AN,BV_Data_An_Prec!$AP:$AP,$B115,BV_Data_An_Prec!$AQ:$AQ,$C115,BV_Data_An_Prec!$AR:$AR,$L$2)</f>
        <v>0</v>
      </c>
      <c r="R115" s="243"/>
      <c r="S115" s="266">
        <f t="shared" si="45"/>
        <v>-16904.61</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35.449923076923078</v>
      </c>
      <c r="L116" s="266">
        <f>SUMIFS(BV_Data_An_Cour!$AN:$AN,BV_Data_An_Cour!$AP:$AP,$B116,BV_Data_An_Cour!$AQ:$AQ,$C116,BV_Data_An_Cour!$AR:$AR,$L$2)</f>
        <v>4608.49</v>
      </c>
      <c r="M116" s="243"/>
      <c r="N116" s="266">
        <f t="shared" si="44"/>
        <v>4608.49</v>
      </c>
      <c r="O116" s="243"/>
      <c r="P116" s="281" t="e">
        <f>IF($J$97=0,0,Q116/(O$94+O$95+O96))</f>
        <v>#DIV/0!</v>
      </c>
      <c r="Q116" s="266">
        <f>SUMIFS(BV_Data_An_Prec!$AN:$AN,BV_Data_An_Prec!$AP:$AP,$B116,BV_Data_An_Prec!$AQ:$AQ,$C116,BV_Data_An_Prec!$AR:$AR,$L$2)</f>
        <v>0</v>
      </c>
      <c r="R116" s="243"/>
      <c r="S116" s="266">
        <f t="shared" si="45"/>
        <v>4608.49</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470.30307692307696</v>
      </c>
      <c r="L118" s="266">
        <f>SUMIFS(BV_Data_An_Cour!$AN:$AN,BV_Data_An_Cour!$AP:$AP,$B118,BV_Data_An_Cour!$AQ:$AQ,$C118,BV_Data_An_Cour!$AR:$AR,$L$2)</f>
        <v>61139.4</v>
      </c>
      <c r="M118" s="243"/>
      <c r="N118" s="266">
        <f t="shared" si="44"/>
        <v>61139.4</v>
      </c>
      <c r="O118" s="243"/>
      <c r="P118" s="281" t="e">
        <f>IF($J$97=0,0,Q118/(O$94+O$95+O96))</f>
        <v>#DIV/0!</v>
      </c>
      <c r="Q118" s="266">
        <f>SUMIFS(BV_Data_An_Prec!$AN:$AN,BV_Data_An_Prec!$AP:$AP,$B118,BV_Data_An_Prec!$AQ:$AQ,$C118,BV_Data_An_Prec!$AR:$AR,$L$2)</f>
        <v>0</v>
      </c>
      <c r="R118" s="243"/>
      <c r="S118" s="266">
        <f t="shared" si="45"/>
        <v>61139.4</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2058.0846153846155</v>
      </c>
      <c r="L119" s="658">
        <f>SUMIFS(BV_Data_An_Cour!$AN:$AN,BV_Data_An_Cour!$AP:$AP,$B119,BV_Data_An_Cour!$AQ:$AQ,$C119,BV_Data_An_Cour!$AR:$AR,$L$2)</f>
        <v>267551</v>
      </c>
      <c r="M119" s="243"/>
      <c r="N119" s="658">
        <f t="shared" si="44"/>
        <v>267551</v>
      </c>
      <c r="O119" s="243"/>
      <c r="P119" s="281" t="e">
        <f>IF($J$97=0,0,Q119/(O$94+O$95+O96))</f>
        <v>#DIV/0!</v>
      </c>
      <c r="Q119" s="658">
        <f>SUMIFS(BV_Data_An_Prec!$AN:$AN,BV_Data_An_Prec!$AP:$AP,$B119,BV_Data_An_Prec!$AQ:$AQ,$C119,BV_Data_An_Prec!$AR:$AR,$L$2)</f>
        <v>0</v>
      </c>
      <c r="R119" s="243"/>
      <c r="S119" s="266">
        <f t="shared" si="45"/>
        <v>267551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3128</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3129</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0.59557274076533973</v>
      </c>
      <c r="L123" s="294">
        <f>SUM(L113:L122)</f>
        <v>422418.08999999997</v>
      </c>
      <c r="M123" s="296"/>
      <c r="N123" s="294">
        <f t="shared" si="44"/>
        <v>422418.08999999997</v>
      </c>
      <c r="O123" s="295" t="s">
        <v>115</v>
      </c>
      <c r="P123" s="293" t="e">
        <f>Q123/Q$109</f>
        <v>#DIV/0!</v>
      </c>
      <c r="Q123" s="294">
        <f>SUM(Q113:Q122)</f>
        <v>0</v>
      </c>
      <c r="R123" s="297"/>
      <c r="S123" s="294">
        <f t="shared" si="45"/>
        <v>422418.08999999997</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148148.23000000001</v>
      </c>
      <c r="M124" s="243"/>
      <c r="N124" s="266">
        <f t="shared" si="44"/>
        <v>148148.23000000001</v>
      </c>
      <c r="O124" s="243"/>
      <c r="P124" s="38"/>
      <c r="Q124" s="266">
        <f>SUMIFS(BV_Data_An_Prec!$AN:$AN,BV_Data_An_Prec!$AP:$AP,$B124,BV_Data_An_Prec!$AQ:$AQ,$C124,BV_Data_An_Prec!$AR:$AR,$L$2)</f>
        <v>0</v>
      </c>
      <c r="R124" s="243"/>
      <c r="S124" s="266">
        <f t="shared" si="45"/>
        <v>148148.23000000001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68504.009999999995</v>
      </c>
      <c r="M125" s="243"/>
      <c r="N125" s="266">
        <f t="shared" si="44"/>
        <v>68504.009999999995</v>
      </c>
      <c r="O125" s="243"/>
      <c r="P125" s="38"/>
      <c r="Q125" s="266">
        <f>SUMIFS(BV_Data_An_Prec!$AN:$AN,BV_Data_An_Prec!$AP:$AP,$B125,BV_Data_An_Prec!$AQ:$AQ,$C125,BV_Data_An_Prec!$AR:$AR,$L$2)</f>
        <v>0</v>
      </c>
      <c r="R125" s="243"/>
      <c r="S125" s="266">
        <f t="shared" si="45"/>
        <v>68504.009999999995</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68691.44</v>
      </c>
      <c r="M126" s="233"/>
      <c r="N126" s="303">
        <f t="shared" si="44"/>
        <v>68691.44</v>
      </c>
      <c r="O126" s="233"/>
      <c r="P126" s="301"/>
      <c r="Q126" s="303">
        <f>SUMIFS(BV_Data_An_Prec!$AN:$AN,BV_Data_An_Prec!$AP:$AP,$B126,BV_Data_An_Prec!$AQ:$AQ,$C126,BV_Data_An_Prec!$AR:$AR,$L$2)</f>
        <v>0</v>
      </c>
      <c r="R126" s="233"/>
      <c r="S126" s="303">
        <f t="shared" si="45"/>
        <v>68691.44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4253.3199999999979</v>
      </c>
      <c r="M131" s="243"/>
      <c r="N131" s="266">
        <f t="shared" si="44"/>
        <v>4253.3199999999979</v>
      </c>
      <c r="O131" s="243"/>
      <c r="P131" s="38"/>
      <c r="Q131" s="266">
        <f>SUMIFS(BV_Data_An_Prec!$AN:$AN,BV_Data_An_Prec!$AP:$AP,$B131,BV_Data_An_Prec!$AQ:$AQ,$C131,BV_Data_An_Prec!$AR:$AR,$L$2)</f>
        <v>0</v>
      </c>
      <c r="R131" s="243"/>
      <c r="S131" s="266">
        <f t="shared" si="45"/>
        <v>4253.3199999999979</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32676.92</v>
      </c>
      <c r="M132" s="233"/>
      <c r="N132" s="303">
        <f t="shared" si="44"/>
        <v>32676.92</v>
      </c>
      <c r="O132" s="233"/>
      <c r="P132" s="301"/>
      <c r="Q132" s="303">
        <f>SUMIFS(BV_Data_An_Prec!$AN:$AN,BV_Data_An_Prec!$AP:$AP,$B132,BV_Data_An_Prec!$AQ:$AQ,$C132,BV_Data_An_Prec!$AR:$AR,$L$2)</f>
        <v>0</v>
      </c>
      <c r="R132" s="233"/>
      <c r="S132" s="303">
        <f t="shared" si="45"/>
        <v>32676.92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48393.09</v>
      </c>
      <c r="M133" s="243"/>
      <c r="N133" s="266">
        <f t="shared" si="44"/>
        <v>48393.09</v>
      </c>
      <c r="O133" s="243"/>
      <c r="P133" s="38"/>
      <c r="Q133" s="266">
        <f>SUMIFS(BV_Data_An_Prec!$AN:$AN,BV_Data_An_Prec!$AP:$AP,$B133,BV_Data_An_Prec!$AQ:$AQ,$C133,BV_Data_An_Prec!$AR:$AR,$L$2)</f>
        <v>0</v>
      </c>
      <c r="R133" s="243"/>
      <c r="S133" s="266">
        <f t="shared" si="45"/>
        <v>48393.09</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-4714.7800000000007</v>
      </c>
      <c r="M134" s="243"/>
      <c r="N134" s="266">
        <f t="shared" si="44"/>
        <v>-4714.7800000000007</v>
      </c>
      <c r="O134" s="243"/>
      <c r="P134" s="38"/>
      <c r="Q134" s="266">
        <f>SUMIFS(BV_Data_An_Prec!$AN:$AN,BV_Data_An_Prec!$AP:$AP,$B134,BV_Data_An_Prec!$AQ:$AQ,$C134,BV_Data_An_Prec!$AR:$AR,$L$2)</f>
        <v>0</v>
      </c>
      <c r="R134" s="243"/>
      <c r="S134" s="266">
        <f t="shared" si="45"/>
        <v>-4714.7800000000007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0.51596079280195595</v>
      </c>
      <c r="L136" s="294">
        <f>SUM(L124:L135)</f>
        <v>365952.23</v>
      </c>
      <c r="M136" s="296"/>
      <c r="N136" s="294">
        <f t="shared" si="44"/>
        <v>365952.23</v>
      </c>
      <c r="O136" s="295" t="s">
        <v>115</v>
      </c>
      <c r="P136" s="293" t="e">
        <f>Q136/Q$109</f>
        <v>#DIV/0!</v>
      </c>
      <c r="Q136" s="294">
        <f>SUM(Q124:Q135)</f>
        <v>0</v>
      </c>
      <c r="R136" s="297"/>
      <c r="S136" s="294">
        <f t="shared" si="45"/>
        <v>365952.23</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43532.77</v>
      </c>
      <c r="M139" s="238"/>
      <c r="N139" s="286">
        <f t="shared" si="44"/>
        <v>43532.77</v>
      </c>
      <c r="O139" s="238"/>
      <c r="P139" s="304"/>
      <c r="Q139" s="286">
        <f>SUMIFS(BV_Data_An_Prec!$AN:$AN,BV_Data_An_Prec!$AP:$AP,$B139,BV_Data_An_Prec!$AQ:$AQ,$C139,BV_Data_An_Prec!$AR:$AR,$L$2)</f>
        <v>0</v>
      </c>
      <c r="R139" s="238"/>
      <c r="S139" s="286">
        <f t="shared" si="45"/>
        <v>43532.77</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21919.05</v>
      </c>
      <c r="M140" s="243"/>
      <c r="N140" s="266">
        <f t="shared" si="44"/>
        <v>21919.05</v>
      </c>
      <c r="O140" s="243"/>
      <c r="P140" s="38"/>
      <c r="Q140" s="266">
        <f>SUMIFS(BV_Data_An_Prec!$AN:$AN,BV_Data_An_Prec!$AP:$AP,$B140,BV_Data_An_Prec!$AQ:$AQ,$C140,BV_Data_An_Prec!$AR:$AR,$L$2)</f>
        <v>0</v>
      </c>
      <c r="R140" s="243"/>
      <c r="S140" s="266">
        <f t="shared" si="45"/>
        <v>21919.05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20604.61</v>
      </c>
      <c r="M141" s="243"/>
      <c r="N141" s="266">
        <f t="shared" si="44"/>
        <v>20604.61</v>
      </c>
      <c r="O141" s="243"/>
      <c r="P141" s="38"/>
      <c r="Q141" s="266">
        <f>SUMIFS(BV_Data_An_Prec!$AN:$AN,BV_Data_An_Prec!$AP:$AP,$B141,BV_Data_An_Prec!$AQ:$AQ,$C141,BV_Data_An_Prec!$AR:$AR,$L$2)</f>
        <v>0</v>
      </c>
      <c r="R141" s="243"/>
      <c r="S141" s="266">
        <f t="shared" si="45"/>
        <v>20604.61</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50807.58</v>
      </c>
      <c r="M142" s="238"/>
      <c r="N142" s="286">
        <f t="shared" si="44"/>
        <v>50807.58</v>
      </c>
      <c r="O142" s="238"/>
      <c r="P142" s="304"/>
      <c r="Q142" s="286">
        <f>SUMIFS(BV_Data_An_Prec!$AN:$AN,BV_Data_An_Prec!$AP:$AP,$B142,BV_Data_An_Prec!$AQ:$AQ,$C142,BV_Data_An_Prec!$AR:$AR,$L$2)</f>
        <v>0</v>
      </c>
      <c r="R142" s="238"/>
      <c r="S142" s="286">
        <f t="shared" si="45"/>
        <v>50807.58</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1371.59</v>
      </c>
      <c r="M143" s="243"/>
      <c r="N143" s="266">
        <f t="shared" si="44"/>
        <v>1371.59</v>
      </c>
      <c r="O143" s="243"/>
      <c r="P143" s="38"/>
      <c r="Q143" s="266">
        <f>SUMIFS(BV_Data_An_Prec!$AN:$AN,BV_Data_An_Prec!$AP:$AP,$B143,BV_Data_An_Prec!$AQ:$AQ,$C143,BV_Data_An_Prec!$AR:$AR,$L$2)</f>
        <v>0</v>
      </c>
      <c r="R143" s="243"/>
      <c r="S143" s="266">
        <f t="shared" si="45"/>
        <v>1371.59</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8201.39</v>
      </c>
      <c r="M145" s="243"/>
      <c r="N145" s="266">
        <f t="shared" si="44"/>
        <v>8201.39</v>
      </c>
      <c r="O145" s="243"/>
      <c r="P145" s="38"/>
      <c r="Q145" s="266">
        <f>SUMIFS(BV_Data_An_Prec!$AN:$AN,BV_Data_An_Prec!$AP:$AP,$B145,BV_Data_An_Prec!$AQ:$AQ,$C145,BV_Data_An_Prec!$AR:$AR,$L$2)</f>
        <v>0</v>
      </c>
      <c r="R145" s="243"/>
      <c r="S145" s="266">
        <f t="shared" si="45"/>
        <v>8201.39</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6443.9</v>
      </c>
      <c r="M146" s="243"/>
      <c r="N146" s="266">
        <f t="shared" si="44"/>
        <v>6443.9</v>
      </c>
      <c r="O146" s="243"/>
      <c r="P146" s="38"/>
      <c r="Q146" s="266">
        <f>SUMIFS(BV_Data_An_Prec!$AN:$AN,BV_Data_An_Prec!$AP:$AP,$B146,BV_Data_An_Prec!$AQ:$AQ,$C146,BV_Data_An_Prec!$AR:$AR,$L$2)</f>
        <v>0</v>
      </c>
      <c r="R146" s="243"/>
      <c r="S146" s="266">
        <f t="shared" si="45"/>
        <v>6443.9</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11945.28</v>
      </c>
      <c r="M147" s="243"/>
      <c r="N147" s="266">
        <f t="shared" si="44"/>
        <v>11945.28</v>
      </c>
      <c r="O147" s="243"/>
      <c r="P147" s="38"/>
      <c r="Q147" s="266">
        <f>SUMIFS(BV_Data_An_Prec!$AN:$AN,BV_Data_An_Prec!$AP:$AP,$B147,BV_Data_An_Prec!$AQ:$AQ,$C147,BV_Data_An_Prec!$AR:$AR,$L$2)</f>
        <v>0</v>
      </c>
      <c r="R147" s="243"/>
      <c r="S147" s="266">
        <f t="shared" si="45"/>
        <v>11945.28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34070.22</v>
      </c>
      <c r="M148" s="243"/>
      <c r="N148" s="266">
        <f t="shared" si="44"/>
        <v>34070.22</v>
      </c>
      <c r="O148" s="243"/>
      <c r="P148" s="38"/>
      <c r="Q148" s="266">
        <f>SUMIFS(BV_Data_An_Prec!$AN:$AN,BV_Data_An_Prec!$AP:$AP,$B148,BV_Data_An_Prec!$AQ:$AQ,$C148,BV_Data_An_Prec!$AR:$AR,$L$2)</f>
        <v>0</v>
      </c>
      <c r="R148" s="243"/>
      <c r="S148" s="266">
        <f t="shared" si="45"/>
        <v>34070.22</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4022.9299999999994</v>
      </c>
      <c r="M150" s="243"/>
      <c r="N150" s="658">
        <f t="shared" si="44"/>
        <v>4022.9299999999994</v>
      </c>
      <c r="O150" s="243"/>
      <c r="P150" s="38"/>
      <c r="Q150" s="658">
        <f>SUMIFS(BV_Data_An_Prec!$AN:$AN,BV_Data_An_Prec!$AP:$AP,$B150,BV_Data_An_Prec!$AQ:$AQ,$C150,BV_Data_An_Prec!$AR:$AR,Q$2)</f>
        <v>0</v>
      </c>
      <c r="R150" s="243"/>
      <c r="S150" s="266">
        <f t="shared" si="45"/>
        <v>4022.9299999999994</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0.28675277926273024</v>
      </c>
      <c r="L154" s="294">
        <f>+SUM(L137:L153)</f>
        <v>203383.31999999998</v>
      </c>
      <c r="M154" s="296"/>
      <c r="N154" s="294">
        <f t="shared" si="44"/>
        <v>203383.31999999998</v>
      </c>
      <c r="O154" s="295" t="s">
        <v>115</v>
      </c>
      <c r="P154" s="293" t="e">
        <f>Q154/Q$109</f>
        <v>#DIV/0!</v>
      </c>
      <c r="Q154" s="294">
        <f>+SUM(Q137:Q153)</f>
        <v>0</v>
      </c>
      <c r="R154" s="297"/>
      <c r="S154" s="294">
        <f t="shared" si="45"/>
        <v>203383.31999999998</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1.3982863128300258</v>
      </c>
      <c r="L156" s="294">
        <f>L123+L136+L154</f>
        <v>991753.6399999999</v>
      </c>
      <c r="M156" s="296"/>
      <c r="N156" s="294">
        <f t="shared" ref="N156:N163" si="48">L156-F156</f>
        <v>991753.6399999999</v>
      </c>
      <c r="O156" s="295" t="s">
        <v>115</v>
      </c>
      <c r="P156" s="293" t="e">
        <f>Q156/Q$109</f>
        <v>#DIV/0!</v>
      </c>
      <c r="Q156" s="294">
        <f>Q123+Q136+Q154</f>
        <v>0</v>
      </c>
      <c r="R156" s="297"/>
      <c r="S156" s="294">
        <f t="shared" si="45"/>
        <v>991753.6399999999</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-282490.00000000198</v>
      </c>
      <c r="M166" s="960"/>
      <c r="N166" s="958">
        <f>L166-F166</f>
        <v>-282490.00000000198</v>
      </c>
      <c r="O166" s="959"/>
      <c r="P166" s="957"/>
      <c r="Q166" s="958">
        <f>Q109-Q156+Q164</f>
        <v>0</v>
      </c>
      <c r="R166" s="961"/>
      <c r="S166" s="958">
        <f t="shared" si="45"/>
        <v>-282490.00000000198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1163</v>
      </c>
      <c r="L169" s="911"/>
      <c r="M169" s="911"/>
      <c r="N169" s="915"/>
      <c r="O169" s="653"/>
      <c r="P169" s="654"/>
      <c r="Q169" s="653"/>
      <c r="R169" s="654"/>
      <c r="S169" s="655" t="str">
        <f>$S$1</f>
        <v>Réalisé AAD, Décembre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7" t="s">
        <v>339</v>
      </c>
      <c r="E171" s="1067"/>
      <c r="F171" s="1068"/>
      <c r="G171" s="1066"/>
      <c r="H171" s="1067"/>
      <c r="I171" s="1068"/>
      <c r="J171" s="1066" t="s">
        <v>340</v>
      </c>
      <c r="K171" s="1067"/>
      <c r="L171" s="1068"/>
      <c r="M171" s="1066" t="s">
        <v>668</v>
      </c>
      <c r="N171" s="1068"/>
      <c r="O171" s="1066" t="s">
        <v>341</v>
      </c>
      <c r="P171" s="1067"/>
      <c r="Q171" s="1068"/>
      <c r="R171" s="1066" t="s">
        <v>670</v>
      </c>
      <c r="S171" s="1068"/>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1162</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73146113.449999988</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1162</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1162</v>
      </c>
      <c r="C175" s="243" t="s">
        <v>1164</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556</v>
      </c>
      <c r="K175" s="281">
        <f t="shared" ref="K175:K179" si="51">IF(J175=0,0,L175/J175)</f>
        <v>1311.4284892086368</v>
      </c>
      <c r="L175" s="266">
        <f>-SUMIFS(BV_Data_An_Cour!$AN:$AN,BV_Data_An_Cour!$AP:$AP,$B175,BV_Data_An_Cour!$AQ:$AQ,$C175,BV_Data_An_Cour!$AR:$AR,$L2)</f>
        <v>729154.24000000209</v>
      </c>
      <c r="M175" s="245">
        <f>J175-D175</f>
        <v>556</v>
      </c>
      <c r="N175" s="246">
        <f>L175-F175</f>
        <v>729154.24000000209</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556</v>
      </c>
      <c r="S175" s="266">
        <f t="shared" ref="S175:S179" si="54">L175-Q175</f>
        <v>729154.24000000209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1162</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1162</v>
      </c>
      <c r="C177" s="243" t="s">
        <v>1165</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1162</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1162</v>
      </c>
      <c r="C179" s="243" t="s">
        <v>1166</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312</v>
      </c>
      <c r="K179" s="281">
        <f t="shared" si="51"/>
        <v>3313.9802243589688</v>
      </c>
      <c r="L179" s="266">
        <f>-SUMIFS(BV_Data_An_Cour!$AN:$AN,BV_Data_An_Cour!$AP:$AP,$B179,BV_Data_An_Cour!$AQ:$AQ,$C179,BV_Data_An_Cour!$AR:$AR,$L2)</f>
        <v>1033961.8299999982</v>
      </c>
      <c r="M179" s="245">
        <f>J179-D179</f>
        <v>312</v>
      </c>
      <c r="N179" s="246">
        <f>L179-F179</f>
        <v>1033961.8299999982</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312</v>
      </c>
      <c r="S179" s="266">
        <f t="shared" si="54"/>
        <v>1033961.8299999982</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1162</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1162</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1162</v>
      </c>
      <c r="C182" s="268" t="s">
        <v>3137</v>
      </c>
      <c r="D182" s="269">
        <f>D175+D177+D179</f>
        <v>0</v>
      </c>
      <c r="E182" s="270">
        <f>IF(D182&lt;=0,0,F182/D182)</f>
        <v>0</v>
      </c>
      <c r="F182" s="271" t="e">
        <f>#REF!+#REF!+#REF!</f>
        <v>#REF!</v>
      </c>
      <c r="G182" s="272"/>
      <c r="H182" s="270"/>
      <c r="I182" s="271"/>
      <c r="J182" s="272">
        <f>J175+J177+J179</f>
        <v>868</v>
      </c>
      <c r="K182" s="269">
        <f>IF(J182&lt;=0,0,L182/J182)</f>
        <v>2031.2397119815671</v>
      </c>
      <c r="L182" s="271">
        <f>L175+L179+L177</f>
        <v>1763116.0700000003</v>
      </c>
      <c r="M182" s="272">
        <f>J182-D182</f>
        <v>868</v>
      </c>
      <c r="N182" s="271" t="e">
        <f>#REF!+#REF!+#REF!+#REF!</f>
        <v>#REF!</v>
      </c>
      <c r="O182" s="272">
        <f>O175+O177+O179</f>
        <v>0</v>
      </c>
      <c r="P182" s="269">
        <f>IF(O182&lt;=0,0,Q182/O182)</f>
        <v>0</v>
      </c>
      <c r="Q182" s="271">
        <f>Q175+Q179+Q177</f>
        <v>0</v>
      </c>
      <c r="R182" s="272">
        <f>J182-O182</f>
        <v>868</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1162</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1162</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1162</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1162</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3.2261063788046576E-5</v>
      </c>
      <c r="K186" s="281">
        <f>IF($J$97=0,0,L186/(J$94+J$95+J182))</f>
        <v>5.6993987975951906E-2</v>
      </c>
      <c r="L186" s="266">
        <f>SUMIFS(BV_Data_An_Cour!$AN:$AN,BV_Data_An_Cour!$AP:$AP,$B186,BV_Data_An_Cour!$AQ:$AQ,$C186,BV_Data_An_Cour!$AR:$AR,$L$2)</f>
        <v>56.88</v>
      </c>
      <c r="M186" s="243"/>
      <c r="N186" s="266">
        <f t="shared" ref="N186:N227" si="56">L186-F186</f>
        <v>56.88</v>
      </c>
      <c r="O186" s="282" t="e">
        <f>Q186/Q182</f>
        <v>#DIV/0!</v>
      </c>
      <c r="P186" s="281" t="e">
        <f>IF($J$97=0,0,Q186/(O$94+O$95+O182))</f>
        <v>#DIV/0!</v>
      </c>
      <c r="Q186" s="266">
        <f>SUMIFS(BV_Data_An_Prec!$AN:$AN,BV_Data_An_Prec!$AP:$AP,$B186,BV_Data_An_Prec!$AQ:$AQ,$C186,BV_Data_An_Prec!$AR:$AR,$L$2)</f>
        <v>0</v>
      </c>
      <c r="R186" s="243"/>
      <c r="S186" s="266">
        <f t="shared" ref="S186:S196" si="57">L186-Q186</f>
        <v>56.88</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1162</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1162</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21.511923847695392</v>
      </c>
      <c r="L188" s="303">
        <f>SUMIFS(BV_Data_An_Cour!$AN:$AN,BV_Data_An_Cour!$AP:$AP,$B188,BV_Data_An_Cour!$AQ:$AQ,$C188,BV_Data_An_Cour!$AR:$AR,$L$2)</f>
        <v>21468.9</v>
      </c>
      <c r="M188" s="243"/>
      <c r="N188" s="266">
        <f t="shared" si="56"/>
        <v>21468.9</v>
      </c>
      <c r="O188" s="243"/>
      <c r="P188" s="281" t="e">
        <f>IF($J$97=0,0,Q188/(O$94+O$95+O182))</f>
        <v>#DIV/0!</v>
      </c>
      <c r="Q188" s="303">
        <f>SUMIFS(BV_Data_An_Prec!$AN:$AN,BV_Data_An_Prec!$AP:$AP,$B188,BV_Data_An_Prec!$AQ:$AQ,$C188,BV_Data_An_Prec!$AR:$AR,$L$2)</f>
        <v>0</v>
      </c>
      <c r="R188" s="243"/>
      <c r="S188" s="266">
        <f t="shared" si="57"/>
        <v>21468.9</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1162</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1162</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1162</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1162</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177.50598196392787</v>
      </c>
      <c r="L192" s="658">
        <f>SUMIFS(BV_Data_An_Cour!$AN:$AN,BV_Data_An_Cour!$AP:$AP,$B192,BV_Data_An_Cour!$AQ:$AQ,$C192,BV_Data_An_Cour!$AR:$AR,$L$2)</f>
        <v>177150.97</v>
      </c>
      <c r="M192" s="243"/>
      <c r="N192" s="658">
        <f t="shared" si="56"/>
        <v>177150.97</v>
      </c>
      <c r="O192" s="243"/>
      <c r="P192" s="281" t="e">
        <f>IF($J$97=0,0,Q192/(O$94+O$95+O182))</f>
        <v>#DIV/0!</v>
      </c>
      <c r="Q192" s="658">
        <f>SUMIFS(BV_Data_An_Prec!$AN:$AN,BV_Data_An_Prec!$AP:$AP,$B192,BV_Data_An_Prec!$AQ:$AQ,$C192,BV_Data_An_Prec!$AR:$AR,$L$2)</f>
        <v>0</v>
      </c>
      <c r="R192" s="243"/>
      <c r="S192" s="266">
        <f t="shared" si="57"/>
        <v>177150.97</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1162</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1162</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1162</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1162</v>
      </c>
      <c r="C196" s="291" t="s">
        <v>114</v>
      </c>
      <c r="D196" s="292" t="s">
        <v>115</v>
      </c>
      <c r="E196" s="293" t="e">
        <f>F196/F$109</f>
        <v>#DIV/0!</v>
      </c>
      <c r="F196" s="294">
        <f>SUM(F186:F195)</f>
        <v>0</v>
      </c>
      <c r="G196" s="295"/>
      <c r="H196" s="293"/>
      <c r="I196" s="294"/>
      <c r="J196" s="295" t="s">
        <v>115</v>
      </c>
      <c r="K196" s="293">
        <f>L196/L$109</f>
        <v>0.28011692520992698</v>
      </c>
      <c r="L196" s="294">
        <f>SUM(L186:L195)</f>
        <v>198676.75</v>
      </c>
      <c r="M196" s="296"/>
      <c r="N196" s="294">
        <f t="shared" si="56"/>
        <v>198676.75</v>
      </c>
      <c r="O196" s="295" t="s">
        <v>115</v>
      </c>
      <c r="P196" s="293" t="e">
        <f>Q196/Q$109</f>
        <v>#DIV/0!</v>
      </c>
      <c r="Q196" s="294">
        <f>SUM(Q186:Q195)</f>
        <v>0</v>
      </c>
      <c r="R196" s="297"/>
      <c r="S196" s="294">
        <f t="shared" si="57"/>
        <v>198676.75</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1162</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332828.59000000003</v>
      </c>
      <c r="M197" s="243"/>
      <c r="N197" s="266">
        <f t="shared" si="56"/>
        <v>332828.59000000003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1162</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127585.11</v>
      </c>
      <c r="M198" s="243"/>
      <c r="N198" s="266">
        <f t="shared" si="56"/>
        <v>127585.11</v>
      </c>
      <c r="O198" s="243"/>
      <c r="P198" s="38"/>
      <c r="Q198" s="266">
        <f>SUMIFS(BV_Data_An_Prec!$AN:$AN,BV_Data_An_Prec!$AP:$AP,$B198,BV_Data_An_Prec!$AQ:$AQ,$C198,BV_Data_An_Prec!$AR:$AR,$L$2)</f>
        <v>0</v>
      </c>
      <c r="R198" s="243"/>
      <c r="S198" s="266">
        <f t="shared" ref="S198:S227" si="61">L198-Q198</f>
        <v>127585.11</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1162</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456362.32</v>
      </c>
      <c r="M199" s="233"/>
      <c r="N199" s="303">
        <f t="shared" si="56"/>
        <v>456362.32</v>
      </c>
      <c r="O199" s="233"/>
      <c r="P199" s="301"/>
      <c r="Q199" s="303">
        <f>SUMIFS(BV_Data_An_Prec!$AN:$AN,BV_Data_An_Prec!$AP:$AP,$B199,BV_Data_An_Prec!$AQ:$AQ,$C199,BV_Data_An_Prec!$AR:$AR,$L$2)</f>
        <v>0</v>
      </c>
      <c r="R199" s="233"/>
      <c r="S199" s="303">
        <f t="shared" si="61"/>
        <v>456362.32</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1162</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1162</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1162</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1162</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1162</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31067.39</v>
      </c>
      <c r="M204" s="243"/>
      <c r="N204" s="266">
        <f t="shared" si="56"/>
        <v>31067.39</v>
      </c>
      <c r="O204" s="243"/>
      <c r="P204" s="38"/>
      <c r="Q204" s="266">
        <f>SUMIFS(BV_Data_An_Prec!$AN:$AN,BV_Data_An_Prec!$AP:$AP,$B204,BV_Data_An_Prec!$AQ:$AQ,$C204,BV_Data_An_Prec!$AR:$AR,$L$2)</f>
        <v>0</v>
      </c>
      <c r="R204" s="243"/>
      <c r="S204" s="266">
        <f t="shared" si="61"/>
        <v>31067.39</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1162</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54352.13</v>
      </c>
      <c r="M205" s="233"/>
      <c r="N205" s="303">
        <f t="shared" si="56"/>
        <v>54352.13</v>
      </c>
      <c r="O205" s="233"/>
      <c r="P205" s="301"/>
      <c r="Q205" s="303">
        <f>SUMIFS(BV_Data_An_Prec!$AN:$AN,BV_Data_An_Prec!$AP:$AP,$B205,BV_Data_An_Prec!$AQ:$AQ,$C205,BV_Data_An_Prec!$AR:$AR,$L$2)</f>
        <v>0</v>
      </c>
      <c r="R205" s="233"/>
      <c r="S205" s="303">
        <f t="shared" si="61"/>
        <v>54352.13</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1162</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18027.599999999999</v>
      </c>
      <c r="M206" s="243"/>
      <c r="N206" s="266">
        <f t="shared" si="56"/>
        <v>18027.599999999999</v>
      </c>
      <c r="O206" s="243"/>
      <c r="P206" s="38"/>
      <c r="Q206" s="266">
        <f>SUMIFS(BV_Data_An_Prec!$AN:$AN,BV_Data_An_Prec!$AP:$AP,$B206,BV_Data_An_Prec!$AQ:$AQ,$C206,BV_Data_An_Prec!$AR:$AR,$L$2)</f>
        <v>0</v>
      </c>
      <c r="R206" s="243"/>
      <c r="S206" s="266">
        <f t="shared" si="61"/>
        <v>18027.599999999999</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1162</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1162</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1162</v>
      </c>
      <c r="C209" s="291" t="s">
        <v>124</v>
      </c>
      <c r="D209" s="292" t="s">
        <v>115</v>
      </c>
      <c r="E209" s="293" t="e">
        <f>F209/F$109</f>
        <v>#DIV/0!</v>
      </c>
      <c r="F209" s="294">
        <f>+SUM(F197:F208)</f>
        <v>0</v>
      </c>
      <c r="G209" s="295"/>
      <c r="H209" s="293"/>
      <c r="I209" s="294"/>
      <c r="J209" s="295" t="s">
        <v>115</v>
      </c>
      <c r="K209" s="293">
        <f>L209/L$109</f>
        <v>1.4384258299213013</v>
      </c>
      <c r="L209" s="294">
        <f>SUM(L197:L208)</f>
        <v>1020223.14</v>
      </c>
      <c r="M209" s="296"/>
      <c r="N209" s="294">
        <f t="shared" si="56"/>
        <v>1020223.14</v>
      </c>
      <c r="O209" s="295" t="s">
        <v>115</v>
      </c>
      <c r="P209" s="293" t="e">
        <f>Q209/Q$109</f>
        <v>#DIV/0!</v>
      </c>
      <c r="Q209" s="294">
        <f>SUM(Q197:Q208)</f>
        <v>0</v>
      </c>
      <c r="R209" s="297"/>
      <c r="S209" s="294">
        <f t="shared" si="61"/>
        <v>1020223.14</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1162</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1162</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1162</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1162</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1162</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1162</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1162</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1162</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1162</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-5008.63</v>
      </c>
      <c r="M218" s="243"/>
      <c r="N218" s="266">
        <f t="shared" si="56"/>
        <v>-5008.63</v>
      </c>
      <c r="O218" s="243"/>
      <c r="P218" s="38"/>
      <c r="Q218" s="266">
        <f>SUMIFS(BV_Data_An_Prec!$AN:$AN,BV_Data_An_Prec!$AP:$AP,$B218,BV_Data_An_Prec!$AQ:$AQ,$C218,BV_Data_An_Prec!$AR:$AR,$L$2)</f>
        <v>0</v>
      </c>
      <c r="R218" s="243"/>
      <c r="S218" s="266">
        <f t="shared" si="61"/>
        <v>-5008.63</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1162</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1162</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6196.98</v>
      </c>
      <c r="M220" s="243"/>
      <c r="N220" s="266">
        <f t="shared" si="56"/>
        <v>6196.98</v>
      </c>
      <c r="O220" s="243"/>
      <c r="P220" s="38"/>
      <c r="Q220" s="266">
        <f>SUMIFS(BV_Data_An_Prec!$AN:$AN,BV_Data_An_Prec!$AP:$AP,$B220,BV_Data_An_Prec!$AQ:$AQ,$C220,BV_Data_An_Prec!$AR:$AR,$L$2)</f>
        <v>0</v>
      </c>
      <c r="R220" s="243"/>
      <c r="S220" s="266">
        <f t="shared" si="61"/>
        <v>6196.98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1162</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1162</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1162</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1162</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1162</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1162</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1162</v>
      </c>
      <c r="C227" s="291" t="s">
        <v>139</v>
      </c>
      <c r="D227" s="292" t="s">
        <v>115</v>
      </c>
      <c r="E227" s="293" t="e">
        <f>F227/F$109</f>
        <v>#DIV/0!</v>
      </c>
      <c r="F227" s="294">
        <f>+SUM(F210:F226)</f>
        <v>0</v>
      </c>
      <c r="G227" s="295"/>
      <c r="H227" s="293"/>
      <c r="I227" s="294"/>
      <c r="J227" s="295" t="s">
        <v>115</v>
      </c>
      <c r="K227" s="293">
        <f>L227/L$109</f>
        <v>6.0199758724414701E-3</v>
      </c>
      <c r="L227" s="294">
        <f>+SUM(L210:L226)</f>
        <v>4269.75</v>
      </c>
      <c r="M227" s="296"/>
      <c r="N227" s="294">
        <f t="shared" si="56"/>
        <v>4269.75</v>
      </c>
      <c r="O227" s="295" t="s">
        <v>115</v>
      </c>
      <c r="P227" s="293" t="e">
        <f>Q227/Q$109</f>
        <v>#DIV/0!</v>
      </c>
      <c r="Q227" s="294">
        <f>+SUM(Q210:Q226)</f>
        <v>0</v>
      </c>
      <c r="R227" s="297"/>
      <c r="S227" s="294">
        <f t="shared" si="61"/>
        <v>4269.75</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1162</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1162</v>
      </c>
      <c r="C229" s="291" t="s">
        <v>140</v>
      </c>
      <c r="D229" s="292" t="s">
        <v>115</v>
      </c>
      <c r="E229" s="293" t="e">
        <f>F229/F$109</f>
        <v>#DIV/0!</v>
      </c>
      <c r="F229" s="294">
        <f>F196+F209+F227</f>
        <v>0</v>
      </c>
      <c r="G229" s="295"/>
      <c r="H229" s="293"/>
      <c r="I229" s="294"/>
      <c r="J229" s="295" t="s">
        <v>115</v>
      </c>
      <c r="K229" s="293">
        <f>L229/L$109</f>
        <v>1.7245627310036697</v>
      </c>
      <c r="L229" s="294">
        <f>L196+L209+L227</f>
        <v>1223169.6400000001</v>
      </c>
      <c r="M229" s="296"/>
      <c r="N229" s="294">
        <f t="shared" ref="N229:N236" si="62">L229-F229</f>
        <v>1223169.6400000001</v>
      </c>
      <c r="O229" s="295" t="s">
        <v>115</v>
      </c>
      <c r="P229" s="293" t="e">
        <f>Q229/Q$109</f>
        <v>#DIV/0!</v>
      </c>
      <c r="Q229" s="294">
        <f>Q196+Q209+Q227</f>
        <v>0</v>
      </c>
      <c r="R229" s="297"/>
      <c r="S229" s="294">
        <f t="shared" ref="S229:S236" si="63">L229-Q229</f>
        <v>1223169.6400000001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1162</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1162</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1162</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1162</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539946.43000000017</v>
      </c>
      <c r="M239" s="960"/>
      <c r="N239" s="958" t="e">
        <f>L239-F239</f>
        <v>#REF!</v>
      </c>
      <c r="O239" s="959"/>
      <c r="P239" s="957"/>
      <c r="Q239" s="958">
        <f>Q182-Q229+Q237</f>
        <v>0</v>
      </c>
      <c r="R239" s="961"/>
      <c r="S239" s="958">
        <f>L239-Q239</f>
        <v>539946.43000000017</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Décembre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7" t="s">
        <v>339</v>
      </c>
      <c r="E244" s="1072"/>
      <c r="F244" s="1073"/>
      <c r="G244" s="1074"/>
      <c r="H244" s="1072"/>
      <c r="I244" s="1073"/>
      <c r="J244" s="1074" t="s">
        <v>340</v>
      </c>
      <c r="K244" s="1072"/>
      <c r="L244" s="1073"/>
      <c r="M244" s="1074" t="s">
        <v>668</v>
      </c>
      <c r="N244" s="1073"/>
      <c r="O244" s="1067" t="s">
        <v>341</v>
      </c>
      <c r="P244" s="1072"/>
      <c r="Q244" s="1073"/>
      <c r="R244" s="1066" t="s">
        <v>670</v>
      </c>
      <c r="S244" s="1075"/>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2920</v>
      </c>
      <c r="K246" s="281">
        <f>-SUMIFS(BV_Data_An_Cour!$AN:$AN,BV_Data_An_Cour!$AS:$AS,"Oui",BV_Data_An_Cour!$AP:$AP,$B246,BV_Data_An_Cour!$AQ:$AQ,$C246)</f>
        <v>1052803.1299999999</v>
      </c>
      <c r="L246" s="266">
        <f>-SUMIFS(BV_Data_An_Cour!$AN:$AN,BV_Data_An_Cour!$AP:$AP,$B246,BV_Data_An_Cour!$AQ:$AQ,$C246,BV_Data_An_Cour!$AR:$AR,$L$2)</f>
        <v>817098.99999999988</v>
      </c>
      <c r="M246" s="282" t="e">
        <f>(K246-E246)/E246</f>
        <v>#DIV/0!</v>
      </c>
      <c r="N246" s="266">
        <f>L246-F246</f>
        <v>817098.99999999988</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817098.99999999988</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0.77611756340428051</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360.54901712328763</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3812</v>
      </c>
      <c r="K249" s="336">
        <f>-SUMIFS(BV_Data_An_Cour!$AN:$AN,BV_Data_An_Cour!$AS:$AS,"Oui",BV_Data_An_Cour!$AP:$AP,$B249,BV_Data_An_Cour!$AQ:$AQ,$C249)</f>
        <v>584241.68999999994</v>
      </c>
      <c r="L249" s="266">
        <f>-SUMIFS(BV_Data_An_Cour!$AN:$AN,BV_Data_An_Cour!$AP:$AP,$B249,BV_Data_An_Cour!$AQ:$AQ,$C249,BV_Data_An_Cour!$AR:$AR,$L$2)</f>
        <v>398994.75999999995</v>
      </c>
      <c r="M249" s="282" t="e">
        <f>(K249-E249)/E249</f>
        <v>#DIV/0!</v>
      </c>
      <c r="N249" s="303">
        <f>L249-F249</f>
        <v>398994.75999999995</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398994.75999999995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0.68292757403190452</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153.2638221406086</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6206</v>
      </c>
      <c r="K252" s="336">
        <f>-SUMIFS(BV_Data_An_Cour!$AN:$AN,BV_Data_An_Cour!$AS:$AS,"Oui",BV_Data_An_Cour!$AP:$AP,$B252,BV_Data_An_Cour!$AQ:$AQ,$C252)</f>
        <v>842894.9</v>
      </c>
      <c r="L252" s="266">
        <f>-SUMIFS(BV_Data_An_Cour!$AN:$AN,BV_Data_An_Cour!$AP:$AP,$B252,BV_Data_An_Cour!$AQ:$AQ,$C252,BV_Data_An_Cour!$AR:$AR,$L$2)</f>
        <v>610887.10000000009</v>
      </c>
      <c r="M252" s="282" t="e">
        <f>(K252-E252)/E252</f>
        <v>#DIV/0!</v>
      </c>
      <c r="N252" s="266">
        <f>L252-F252</f>
        <v>610887.10000000009</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610887.10000000009</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0.72474883879354368</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135.81935223976797</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15617.08</v>
      </c>
      <c r="M258" s="267"/>
      <c r="N258" s="266">
        <f>L258-F258</f>
        <v>15617.08</v>
      </c>
      <c r="O258" s="267"/>
      <c r="P258" s="281"/>
      <c r="Q258" s="281">
        <f>-SUMIFS(BV_Data_An_Prec!$AN:$AN,BV_Data_An_Prec!$AP:$AP,$B258,BV_Data_An_Prec!$AQ:$AQ,$C258,BV_Data_An_Prec!$AR:$AR,$L$2)</f>
        <v>0</v>
      </c>
      <c r="R258" s="345"/>
      <c r="S258" s="266">
        <f t="shared" ref="S258:S259" si="65">L258-Q258</f>
        <v>15617.08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12938</v>
      </c>
      <c r="K259" s="976">
        <f t="shared" si="68"/>
        <v>2479939.7199999997</v>
      </c>
      <c r="L259" s="977">
        <f t="shared" si="68"/>
        <v>1842597.94</v>
      </c>
      <c r="M259" s="978" t="e">
        <f>(K259-E259)/E259</f>
        <v>#DIV/0!</v>
      </c>
      <c r="N259" s="977">
        <f>L259-F259</f>
        <v>1842597.94</v>
      </c>
      <c r="O259" s="975">
        <f t="shared" ref="O259:Q259" si="69">O246+O249+O252+O255+O258</f>
        <v>0</v>
      </c>
      <c r="P259" s="976">
        <f t="shared" si="69"/>
        <v>0</v>
      </c>
      <c r="Q259" s="977">
        <f t="shared" si="69"/>
        <v>0</v>
      </c>
      <c r="R259" s="254">
        <f>IF(O259=0,0,J259/O259)</f>
        <v>0</v>
      </c>
      <c r="S259" s="348">
        <f t="shared" si="65"/>
        <v>1842597.94</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191.67875405781416</v>
      </c>
      <c r="L260" s="255">
        <f>IF(L259=0,0,L259/K259)</f>
        <v>0.74300110004286724</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3732</v>
      </c>
      <c r="K262" s="281">
        <f>-SUMIFS(BV_Data_An_Cour!$AN:$AN,BV_Data_An_Cour!$AS:$AS,"Oui",BV_Data_An_Cour!$AP:$AP,$B262,BV_Data_An_Cour!$AQ:$AQ,$C262)</f>
        <v>266334.70999999996</v>
      </c>
      <c r="L262" s="266">
        <f>-SUMIFS(BV_Data_An_Cour!$AN:$AN,BV_Data_An_Cour!$AP:$AP,$B262,BV_Data_An_Cour!$AQ:$AQ,$C262,BV_Data_An_Cour!$AR:$AR,$L$2)</f>
        <v>52832.659999999974</v>
      </c>
      <c r="M262" s="282">
        <f>IF(E262=0,0,(K262-E262)/E262)</f>
        <v>0</v>
      </c>
      <c r="N262" s="266">
        <f>L262-F262</f>
        <v>52832.659999999974</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52832.659999999974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0.19836941268376165</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2746274.4299999997</v>
      </c>
      <c r="L268" s="271">
        <f t="shared" si="71"/>
        <v>1895430.5999999999</v>
      </c>
      <c r="M268" s="272" t="e">
        <f>L269-F269</f>
        <v>#DIV/0!</v>
      </c>
      <c r="N268" s="271">
        <f>L268-F268</f>
        <v>1895430.5999999999</v>
      </c>
      <c r="O268" s="272"/>
      <c r="P268" s="269">
        <f t="shared" ref="P268" si="72">P259+P262+P265</f>
        <v>0</v>
      </c>
      <c r="Q268" s="271">
        <f>Q259+Q262+Q265</f>
        <v>0</v>
      </c>
      <c r="R268" s="272" t="e">
        <f>L269-Q269</f>
        <v>#DIV/0!</v>
      </c>
      <c r="S268" s="271">
        <f>L268-Q268</f>
        <v>1895430.5999999999</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0.69018251755706728</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132922.82999999999</v>
      </c>
      <c r="M272" s="243"/>
      <c r="N272" s="266">
        <f t="shared" ref="N272:N303" si="73">L272-F272</f>
        <v>132922.82999999999</v>
      </c>
      <c r="O272" s="243"/>
      <c r="P272" s="38"/>
      <c r="Q272" s="266">
        <f>SUMIFS(BV_Data_An_Prec!$AN:$AN,BV_Data_An_Prec!$AP:$AP,$B272,BV_Data_An_Prec!$AQ:$AQ,$C272,BV_Data_An_Prec!$AR:$AR,$L$2)</f>
        <v>0</v>
      </c>
      <c r="R272" s="243"/>
      <c r="S272" s="266">
        <f t="shared" ref="S272:S303" si="74">L272-Q272</f>
        <v>132922.82999999999</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318139.25</v>
      </c>
      <c r="M273" s="243"/>
      <c r="N273" s="266">
        <f t="shared" si="73"/>
        <v>318139.25</v>
      </c>
      <c r="O273" s="243"/>
      <c r="P273" s="38"/>
      <c r="Q273" s="266">
        <f>SUMIFS(BV_Data_An_Prec!$AN:$AN,BV_Data_An_Prec!$AP:$AP,$B273,BV_Data_An_Prec!$AQ:$AQ,$C273,BV_Data_An_Prec!$AR:$AR,$L$2)</f>
        <v>0</v>
      </c>
      <c r="R273" s="243"/>
      <c r="S273" s="266">
        <f t="shared" si="74"/>
        <v>318139.25</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293686.53000000003</v>
      </c>
      <c r="M274" s="233"/>
      <c r="N274" s="303">
        <f t="shared" si="73"/>
        <v>293686.53000000003</v>
      </c>
      <c r="O274" s="233"/>
      <c r="P274" s="301"/>
      <c r="Q274" s="303">
        <f>SUMIFS(BV_Data_An_Prec!$AN:$AN,BV_Data_An_Prec!$AP:$AP,$B274,BV_Data_An_Prec!$AQ:$AQ,$C274,BV_Data_An_Prec!$AR:$AR,$L$2)</f>
        <v>0</v>
      </c>
      <c r="R274" s="233"/>
      <c r="S274" s="303">
        <f t="shared" si="74"/>
        <v>293686.53000000003</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204086.88</v>
      </c>
      <c r="M279" s="243"/>
      <c r="N279" s="266">
        <f t="shared" si="73"/>
        <v>204086.88</v>
      </c>
      <c r="O279" s="243"/>
      <c r="P279" s="38"/>
      <c r="Q279" s="266">
        <f>SUMIFS(BV_Data_An_Prec!$AN:$AN,BV_Data_An_Prec!$AP:$AP,$B279,BV_Data_An_Prec!$AQ:$AQ,$C279,BV_Data_An_Prec!$AR:$AR,$L$2)</f>
        <v>0</v>
      </c>
      <c r="R279" s="243"/>
      <c r="S279" s="266">
        <f t="shared" si="74"/>
        <v>204086.88</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228817.9</v>
      </c>
      <c r="M280" s="233"/>
      <c r="N280" s="303">
        <f t="shared" si="73"/>
        <v>228817.9</v>
      </c>
      <c r="O280" s="233"/>
      <c r="P280" s="301"/>
      <c r="Q280" s="303">
        <f>SUMIFS(BV_Data_An_Prec!$AN:$AN,BV_Data_An_Prec!$AP:$AP,$B280,BV_Data_An_Prec!$AQ:$AQ,$C280,BV_Data_An_Prec!$AR:$AR,$L$2)</f>
        <v>0</v>
      </c>
      <c r="R280" s="233"/>
      <c r="S280" s="303">
        <f t="shared" si="74"/>
        <v>228817.9</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158009.26999999999</v>
      </c>
      <c r="M281" s="243"/>
      <c r="N281" s="266">
        <f t="shared" si="73"/>
        <v>158009.26999999999</v>
      </c>
      <c r="O281" s="243"/>
      <c r="P281" s="38"/>
      <c r="Q281" s="266">
        <f>SUMIFS(BV_Data_An_Prec!$AN:$AN,BV_Data_An_Prec!$AP:$AP,$B281,BV_Data_An_Prec!$AQ:$AQ,$C281,BV_Data_An_Prec!$AR:$AR,$L$2)</f>
        <v>0</v>
      </c>
      <c r="R281" s="243"/>
      <c r="S281" s="266">
        <f t="shared" si="74"/>
        <v>158009.26999999999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3759.3700000000008</v>
      </c>
      <c r="M282" s="243"/>
      <c r="N282" s="266">
        <f t="shared" si="73"/>
        <v>3759.3700000000008</v>
      </c>
      <c r="O282" s="243"/>
      <c r="P282" s="38"/>
      <c r="Q282" s="266">
        <f>SUMIFS(BV_Data_An_Prec!$AN:$AN,BV_Data_An_Prec!$AP:$AP,$B282,BV_Data_An_Prec!$AQ:$AQ,$C282,BV_Data_An_Prec!$AR:$AR,$L$2)</f>
        <v>0</v>
      </c>
      <c r="R282" s="243"/>
      <c r="S282" s="266">
        <f t="shared" si="74"/>
        <v>3759.3700000000008</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0.70665843951237262</v>
      </c>
      <c r="L284" s="294">
        <f>+SUM(L272:L283)</f>
        <v>1339422.03</v>
      </c>
      <c r="M284" s="296"/>
      <c r="N284" s="294">
        <f t="shared" si="73"/>
        <v>1339422.03</v>
      </c>
      <c r="O284" s="295" t="s">
        <v>171</v>
      </c>
      <c r="P284" s="293" t="e">
        <f>Q284/Q$268</f>
        <v>#DIV/0!</v>
      </c>
      <c r="Q284" s="294">
        <f>+SUM(Q272:Q283)</f>
        <v>0</v>
      </c>
      <c r="R284" s="297"/>
      <c r="S284" s="294">
        <f t="shared" si="74"/>
        <v>1339422.03</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30965.129999999997</v>
      </c>
      <c r="M285" s="243"/>
      <c r="N285" s="266">
        <f t="shared" si="73"/>
        <v>30965.129999999997</v>
      </c>
      <c r="O285" s="243"/>
      <c r="P285" s="38"/>
      <c r="Q285" s="266">
        <f>SUMIFS(BV_Data_An_Prec!$AN:$AN,BV_Data_An_Prec!$AP:$AP,$B285,BV_Data_An_Prec!$AQ:$AQ,$C285,BV_Data_An_Prec!$AR:$AR,$L$2)</f>
        <v>0</v>
      </c>
      <c r="R285" s="243"/>
      <c r="S285" s="266">
        <f t="shared" si="74"/>
        <v>30965.129999999997</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41040.21</v>
      </c>
      <c r="M286" s="243"/>
      <c r="N286" s="266">
        <f t="shared" si="73"/>
        <v>41040.21</v>
      </c>
      <c r="O286" s="243"/>
      <c r="P286" s="38"/>
      <c r="Q286" s="266">
        <f>SUMIFS(BV_Data_An_Prec!$AN:$AN,BV_Data_An_Prec!$AP:$AP,$B286,BV_Data_An_Prec!$AQ:$AQ,$C286,BV_Data_An_Prec!$AR:$AR,$L$2)</f>
        <v>0</v>
      </c>
      <c r="R286" s="243"/>
      <c r="S286" s="266">
        <f t="shared" si="74"/>
        <v>41040.21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-33570.15</v>
      </c>
      <c r="M287" s="238"/>
      <c r="N287" s="286">
        <f t="shared" si="73"/>
        <v>-33570.15</v>
      </c>
      <c r="O287" s="238"/>
      <c r="P287" s="304"/>
      <c r="Q287" s="266">
        <f>SUMIFS(BV_Data_An_Prec!$AN:$AN,BV_Data_An_Prec!$AP:$AP,$B287,BV_Data_An_Prec!$AQ:$AQ,$C287,BV_Data_An_Prec!$AR:$AR,$L$2)</f>
        <v>0</v>
      </c>
      <c r="R287" s="238"/>
      <c r="S287" s="286">
        <f t="shared" si="74"/>
        <v>-33570.15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34626.99</v>
      </c>
      <c r="M288" s="243"/>
      <c r="N288" s="266">
        <f t="shared" si="73"/>
        <v>34626.99</v>
      </c>
      <c r="O288" s="243"/>
      <c r="P288" s="38"/>
      <c r="Q288" s="303">
        <f>SUMIFS(BV_Data_An_Prec!$AN:$AN,BV_Data_An_Prec!$AP:$AP,$B288,BV_Data_An_Prec!$AQ:$AQ,$C288,BV_Data_An_Prec!$AR:$AR,$L$2)</f>
        <v>0</v>
      </c>
      <c r="R288" s="243"/>
      <c r="S288" s="266">
        <f t="shared" si="74"/>
        <v>34626.99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31033.75</v>
      </c>
      <c r="M289" s="243"/>
      <c r="N289" s="266">
        <f t="shared" si="73"/>
        <v>31033.75</v>
      </c>
      <c r="O289" s="243"/>
      <c r="P289" s="38"/>
      <c r="Q289" s="266">
        <f>SUMIFS(BV_Data_An_Prec!$AN:$AN,BV_Data_An_Prec!$AP:$AP,$B289,BV_Data_An_Prec!$AQ:$AQ,$C289,BV_Data_An_Prec!$AR:$AR,$L$2)</f>
        <v>0</v>
      </c>
      <c r="R289" s="243"/>
      <c r="S289" s="266">
        <f t="shared" si="74"/>
        <v>31033.75</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155318.07999999999</v>
      </c>
      <c r="M290" s="238"/>
      <c r="N290" s="286">
        <f t="shared" si="73"/>
        <v>155318.07999999999</v>
      </c>
      <c r="O290" s="238"/>
      <c r="P290" s="304"/>
      <c r="Q290" s="266">
        <f>SUMIFS(BV_Data_An_Prec!$AN:$AN,BV_Data_An_Prec!$AP:$AP,$B290,BV_Data_An_Prec!$AQ:$AQ,$C290,BV_Data_An_Prec!$AR:$AR,$L$2)</f>
        <v>0</v>
      </c>
      <c r="R290" s="238"/>
      <c r="S290" s="286">
        <f t="shared" si="74"/>
        <v>155318.07999999999</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52720.72</v>
      </c>
      <c r="M292" s="243"/>
      <c r="N292" s="266">
        <f t="shared" si="73"/>
        <v>52720.72</v>
      </c>
      <c r="O292" s="243"/>
      <c r="P292" s="38"/>
      <c r="Q292" s="266">
        <f>SUMIFS(BV_Data_An_Prec!$AN:$AN,BV_Data_An_Prec!$AP:$AP,$B292,BV_Data_An_Prec!$AQ:$AQ,$C292,BV_Data_An_Prec!$AR:$AR,$L$2)</f>
        <v>0</v>
      </c>
      <c r="R292" s="243"/>
      <c r="S292" s="266">
        <f t="shared" si="74"/>
        <v>52720.72</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17356.330000000002</v>
      </c>
      <c r="M294" s="243"/>
      <c r="N294" s="266">
        <f t="shared" si="73"/>
        <v>17356.330000000002</v>
      </c>
      <c r="O294" s="243"/>
      <c r="P294" s="281"/>
      <c r="Q294" s="266">
        <f>SUMIFS(BV_Data_An_Prec!$AN:$AN,BV_Data_An_Prec!$AP:$AP,$B294,BV_Data_An_Prec!$AQ:$AQ,$C294,BV_Data_An_Prec!$AR:$AR,$L$2)</f>
        <v>0</v>
      </c>
      <c r="R294" s="243"/>
      <c r="S294" s="266">
        <f t="shared" si="74"/>
        <v>17356.330000000002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10850.74</v>
      </c>
      <c r="M295" s="243"/>
      <c r="N295" s="266">
        <f t="shared" si="73"/>
        <v>10850.74</v>
      </c>
      <c r="O295" s="243"/>
      <c r="P295" s="38"/>
      <c r="Q295" s="266">
        <f>SUMIFS(BV_Data_An_Prec!$AN:$AN,BV_Data_An_Prec!$AP:$AP,$B295,BV_Data_An_Prec!$AQ:$AQ,$C295,BV_Data_An_Prec!$AR:$AR,$L$2)</f>
        <v>0</v>
      </c>
      <c r="R295" s="243"/>
      <c r="S295" s="266">
        <f t="shared" si="74"/>
        <v>10850.74</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7910.41</v>
      </c>
      <c r="M296" s="243"/>
      <c r="N296" s="266">
        <f t="shared" si="73"/>
        <v>7910.41</v>
      </c>
      <c r="O296" s="243"/>
      <c r="P296" s="38"/>
      <c r="Q296" s="266">
        <f>SUMIFS(BV_Data_An_Prec!$AN:$AN,BV_Data_An_Prec!$AP:$AP,$B296,BV_Data_An_Prec!$AQ:$AQ,$C296,BV_Data_An_Prec!$AR:$AR,$L$2)</f>
        <v>0</v>
      </c>
      <c r="R296" s="243"/>
      <c r="S296" s="266">
        <f t="shared" si="74"/>
        <v>7910.41</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16239.699999999999</v>
      </c>
      <c r="M297" s="243"/>
      <c r="N297" s="266">
        <f t="shared" si="73"/>
        <v>16239.699999999999</v>
      </c>
      <c r="O297" s="243"/>
      <c r="P297" s="38"/>
      <c r="Q297" s="266">
        <f>SUMIFS(BV_Data_An_Prec!$AN:$AN,BV_Data_An_Prec!$AP:$AP,$B297,BV_Data_An_Prec!$AQ:$AQ,$C297,BV_Data_An_Prec!$AR:$AR,$L$2)</f>
        <v>0</v>
      </c>
      <c r="R297" s="243"/>
      <c r="S297" s="266">
        <f t="shared" si="74"/>
        <v>16239.699999999999</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33682.04</v>
      </c>
      <c r="M298" s="243"/>
      <c r="N298" s="266">
        <f t="shared" si="73"/>
        <v>33682.04</v>
      </c>
      <c r="O298" s="243"/>
      <c r="P298" s="38"/>
      <c r="Q298" s="266">
        <f>SUMIFS(BV_Data_An_Prec!$AN:$AN,BV_Data_An_Prec!$AP:$AP,$B298,BV_Data_An_Prec!$AQ:$AQ,$C298,BV_Data_An_Prec!$AR:$AR,$L$2)</f>
        <v>0</v>
      </c>
      <c r="R298" s="243"/>
      <c r="S298" s="266">
        <f t="shared" si="74"/>
        <v>33682.04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6035.06</v>
      </c>
      <c r="M299" s="243"/>
      <c r="N299" s="266">
        <f t="shared" si="73"/>
        <v>6035.06</v>
      </c>
      <c r="O299" s="243"/>
      <c r="P299" s="38"/>
      <c r="Q299" s="266">
        <f>SUMIFS(BV_Data_An_Prec!$AN:$AN,BV_Data_An_Prec!$AP:$AP,$B299,BV_Data_An_Prec!$AQ:$AQ,$C299,BV_Data_An_Prec!$AR:$AR,Q$2)</f>
        <v>0</v>
      </c>
      <c r="R299" s="243"/>
      <c r="S299" s="266">
        <f t="shared" si="74"/>
        <v>6035.06</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0.21325444993871048</v>
      </c>
      <c r="L303" s="294">
        <f>+SUM(L285:L302)</f>
        <v>404209.00999999995</v>
      </c>
      <c r="M303" s="296"/>
      <c r="N303" s="294">
        <f t="shared" si="73"/>
        <v>404209.00999999995</v>
      </c>
      <c r="O303" s="295" t="s">
        <v>171</v>
      </c>
      <c r="P303" s="293" t="e">
        <f>Q303/Q$268</f>
        <v>#DIV/0!</v>
      </c>
      <c r="Q303" s="294">
        <f>+SUM(Q285:Q302)</f>
        <v>0</v>
      </c>
      <c r="R303" s="297"/>
      <c r="S303" s="294">
        <f t="shared" si="74"/>
        <v>404209.00999999995</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0.91991288945108318</v>
      </c>
      <c r="L305" s="294">
        <f>L284+L303</f>
        <v>1743631.04</v>
      </c>
      <c r="M305" s="296"/>
      <c r="N305" s="294">
        <f>L305-F305</f>
        <v>1743631.04</v>
      </c>
      <c r="O305" s="295" t="s">
        <v>115</v>
      </c>
      <c r="P305" s="293" t="e">
        <f>Q305/Q$268</f>
        <v>#DIV/0!</v>
      </c>
      <c r="Q305" s="294">
        <f>Q284+Q303</f>
        <v>0</v>
      </c>
      <c r="R305" s="297"/>
      <c r="S305" s="294">
        <f>L305-Q305</f>
        <v>1743631.04</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151799.55999999982</v>
      </c>
      <c r="M307" s="960"/>
      <c r="N307" s="958">
        <f>L307-F307</f>
        <v>151799.55999999982</v>
      </c>
      <c r="O307" s="959"/>
      <c r="P307" s="957"/>
      <c r="Q307" s="958">
        <f>Q268-Q305</f>
        <v>0</v>
      </c>
      <c r="R307" s="961"/>
      <c r="S307" s="958">
        <f>L307-Q307</f>
        <v>151799.55999999982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Décembre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7" t="s">
        <v>339</v>
      </c>
      <c r="E312" s="1072"/>
      <c r="F312" s="1073"/>
      <c r="G312" s="1074"/>
      <c r="H312" s="1072"/>
      <c r="I312" s="1073"/>
      <c r="J312" s="1074" t="s">
        <v>340</v>
      </c>
      <c r="K312" s="1072"/>
      <c r="L312" s="1073"/>
      <c r="M312" s="1074" t="s">
        <v>668</v>
      </c>
      <c r="N312" s="1073"/>
      <c r="O312" s="1067" t="s">
        <v>341</v>
      </c>
      <c r="P312" s="1072"/>
      <c r="Q312" s="1073"/>
      <c r="R312" s="1066" t="s">
        <v>670</v>
      </c>
      <c r="S312" s="1075"/>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1173</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1808245.83</v>
      </c>
      <c r="L315" s="266">
        <f>-SUMIFS(BV_Data_An_Cour!$AN:$AN,BV_Data_An_Cour!$AP:$AP,$B315,BV_Data_An_Cour!$AQ:$AQ,$C315,BV_Data_An_Cour!$AR:$AR,$L$2)</f>
        <v>635806.7300000001</v>
      </c>
      <c r="M315" s="282">
        <f>IFERROR((K315-E315)/E315,0)</f>
        <v>0</v>
      </c>
      <c r="N315" s="266">
        <f>L315-F315</f>
        <v>635806.7300000001</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635806.7300000001</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0.35161520599220741</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1171</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59668.28</v>
      </c>
      <c r="L318" s="303">
        <f>-SUMIFS(BV_Data_An_Cour!$AN:$AN,BV_Data_An_Cour!$AP:$AP,$B318,BV_Data_An_Cour!$AQ:$AQ,$C318,BV_Data_An_Cour!$AR:$AR,$L$2)</f>
        <v>33784.74</v>
      </c>
      <c r="M318" s="340">
        <f>IFERROR((K318-E318)/E318,0)</f>
        <v>0</v>
      </c>
      <c r="N318" s="303">
        <f>L318-F318</f>
        <v>33784.74</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33784.74</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0.56620938294182432</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1172</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1174</v>
      </c>
      <c r="D324" s="38"/>
      <c r="E324" s="38"/>
      <c r="F324" s="927"/>
      <c r="G324" s="681"/>
      <c r="H324" s="38"/>
      <c r="I324" s="927"/>
      <c r="J324" s="681"/>
      <c r="K324" s="38"/>
      <c r="L324" s="266">
        <f>-SUMIFS(BV_Data_An_Cour!$AN:$AN,BV_Data_An_Cour!$AP:$AP,$B324,BV_Data_An_Cour!$AQ:$AQ,$C324,BV_Data_An_Cour!$AR:$AR,$L$2)</f>
        <v>10741.94</v>
      </c>
      <c r="M324" s="928"/>
      <c r="N324" s="929"/>
      <c r="O324" s="681"/>
      <c r="P324" s="38"/>
      <c r="Q324" s="266">
        <f>-SUMIFS(BV_Data_An_Prec!$AN:$AN,BV_Data_An_Prec!$AP:$AP,$B324,BV_Data_An_Prec!$AQ:$AQ,$C324,BV_Data_An_Prec!$AR:$AR,$L$2)</f>
        <v>0</v>
      </c>
      <c r="R324" s="282">
        <f>IF(O324=0,0,J324/O324)</f>
        <v>0</v>
      </c>
      <c r="S324" s="266">
        <f>L324-Q324</f>
        <v>10741.94</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3102</v>
      </c>
      <c r="D326" s="269"/>
      <c r="E326" s="270">
        <f t="shared" ref="E326:F326" si="76">E318+E321+E315</f>
        <v>0</v>
      </c>
      <c r="F326" s="271">
        <f t="shared" si="76"/>
        <v>0</v>
      </c>
      <c r="G326" s="272"/>
      <c r="H326" s="270"/>
      <c r="I326" s="271"/>
      <c r="J326" s="272"/>
      <c r="K326" s="269">
        <f t="shared" ref="K326" si="77">K318+K321+K315</f>
        <v>1867914.11</v>
      </c>
      <c r="L326" s="271">
        <f>L318+L321+L315+L324</f>
        <v>680333.41</v>
      </c>
      <c r="M326" s="272" t="e">
        <f>L327-F327</f>
        <v>#DIV/0!</v>
      </c>
      <c r="N326" s="271">
        <f>L326-F326</f>
        <v>680333.41</v>
      </c>
      <c r="O326" s="272"/>
      <c r="P326" s="269">
        <f t="shared" ref="P326" si="78">P318+P321+P315</f>
        <v>0</v>
      </c>
      <c r="Q326" s="271">
        <f>Q318+Q321+Q315+Q324</f>
        <v>0</v>
      </c>
      <c r="R326" s="272"/>
      <c r="S326" s="271">
        <f>L326-Q326</f>
        <v>680333.41</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136762.75</v>
      </c>
      <c r="M330" s="243"/>
      <c r="N330" s="266">
        <f t="shared" ref="N330:N360" si="79">L330-F330</f>
        <v>136762.75</v>
      </c>
      <c r="O330" s="243"/>
      <c r="P330" s="38"/>
      <c r="Q330" s="266" cm="1">
        <f t="array" ref="Q330">+SUMPRODUCT(('Réel 2024'!$A$8:$A$501=$A330)*('Réel 2024'!$C$3:$AO$3=Q$2),'Réel 2024'!$C$8:$AO$501)</f>
        <v>0</v>
      </c>
      <c r="R330" s="243"/>
      <c r="S330" s="266">
        <f t="shared" ref="S330:S361" si="80">L330-Q330</f>
        <v>136762.75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86023.16</v>
      </c>
      <c r="M331" s="243"/>
      <c r="N331" s="266">
        <f t="shared" si="79"/>
        <v>86023.16</v>
      </c>
      <c r="O331" s="243"/>
      <c r="P331" s="38"/>
      <c r="Q331" s="266" cm="1">
        <f t="array" ref="Q331">+SUMPRODUCT(('Réel 2024'!$A$8:$A$501=$A331)*('Réel 2024'!$C$3:$AO$3=Q$2),'Réel 2024'!$C$8:$AO$501)</f>
        <v>0</v>
      </c>
      <c r="R331" s="243"/>
      <c r="S331" s="266">
        <f t="shared" si="80"/>
        <v>86023.16</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45397.21</v>
      </c>
      <c r="M337" s="243"/>
      <c r="N337" s="266">
        <f t="shared" si="79"/>
        <v>45397.21</v>
      </c>
      <c r="O337" s="243"/>
      <c r="P337" s="38"/>
      <c r="Q337" s="266" cm="1">
        <f t="array" ref="Q337">+SUMPRODUCT(('Réel 2024'!$A$8:$A$501=$A337)*('Réel 2024'!$C$3:$AO$3=Q$2),'Réel 2024'!$C$8:$AO$501)</f>
        <v>0</v>
      </c>
      <c r="R337" s="243"/>
      <c r="S337" s="266">
        <f t="shared" si="80"/>
        <v>45397.21</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58461.33</v>
      </c>
      <c r="M338" s="233"/>
      <c r="N338" s="303">
        <f t="shared" si="79"/>
        <v>58461.33</v>
      </c>
      <c r="O338" s="233"/>
      <c r="P338" s="301"/>
      <c r="Q338" s="303" cm="1">
        <f t="array" ref="Q338">+SUMPRODUCT(('Réel 2024'!$A$8:$A$501=$A338)*('Réel 2024'!$C$3:$AO$3=Q$2),'Réel 2024'!$C$8:$AO$501)</f>
        <v>0</v>
      </c>
      <c r="R338" s="233"/>
      <c r="S338" s="303">
        <f t="shared" si="80"/>
        <v>58461.33</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42261.05</v>
      </c>
      <c r="M339" s="243"/>
      <c r="N339" s="266">
        <f t="shared" si="79"/>
        <v>42261.05</v>
      </c>
      <c r="O339" s="243"/>
      <c r="P339" s="38"/>
      <c r="Q339" s="266" cm="1">
        <f t="array" ref="Q339">+SUMPRODUCT(('Réel 2024'!$A$8:$A$501=$A339)*('Réel 2024'!$C$3:$AO$3=Q$2),'Réel 2024'!$C$8:$AO$501)</f>
        <v>0</v>
      </c>
      <c r="R339" s="243"/>
      <c r="S339" s="266">
        <f t="shared" si="80"/>
        <v>42261.05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-2043.1800000000003</v>
      </c>
      <c r="M340" s="243"/>
      <c r="N340" s="266">
        <f t="shared" si="79"/>
        <v>-2043.1800000000003</v>
      </c>
      <c r="O340" s="243"/>
      <c r="P340" s="38"/>
      <c r="Q340" s="266" cm="1">
        <f t="array" ref="Q340">+SUMPRODUCT(('Réel 2024'!$A$8:$A$501=$A340)*('Réel 2024'!$C$3:$AO$3=Q$2),'Réel 2024'!$C$8:$AO$501)</f>
        <v>0</v>
      </c>
      <c r="R340" s="243"/>
      <c r="S340" s="266">
        <f t="shared" si="80"/>
        <v>-2043.1800000000003</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10.861066860363586</v>
      </c>
      <c r="L342" s="294">
        <f>+SUM(L330:L341)</f>
        <v>366938.32</v>
      </c>
      <c r="M342" s="296"/>
      <c r="N342" s="294">
        <f t="shared" si="79"/>
        <v>366938.32</v>
      </c>
      <c r="O342" s="295" t="s">
        <v>115</v>
      </c>
      <c r="P342" s="293" t="e">
        <f>Q342/Q$318</f>
        <v>#DIV/0!</v>
      </c>
      <c r="Q342" s="294">
        <f>+SUM(Q330:Q341)</f>
        <v>0</v>
      </c>
      <c r="R342" s="297"/>
      <c r="S342" s="294">
        <f t="shared" si="80"/>
        <v>366938.32</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12000.289999999999</v>
      </c>
      <c r="M343" s="243"/>
      <c r="N343" s="266">
        <f t="shared" si="79"/>
        <v>12000.289999999999</v>
      </c>
      <c r="O343" s="243"/>
      <c r="P343" s="38"/>
      <c r="Q343" s="266" cm="1">
        <f t="array" ref="Q343">+SUMPRODUCT(('Réel 2024'!$A$8:$A$501=$A343)*('Réel 2024'!$C$3:$AO$3=Q$2),'Réel 2024'!$C$8:$AO$501)</f>
        <v>0</v>
      </c>
      <c r="R343" s="243"/>
      <c r="S343" s="266">
        <f t="shared" si="80"/>
        <v>12000.289999999999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17133.73</v>
      </c>
      <c r="M344" s="243"/>
      <c r="N344" s="266">
        <f t="shared" si="79"/>
        <v>17133.73</v>
      </c>
      <c r="O344" s="243"/>
      <c r="P344" s="38"/>
      <c r="Q344" s="266" cm="1">
        <f t="array" ref="Q344">+SUMPRODUCT(('Réel 2024'!$A$8:$A$501=$A344)*('Réel 2024'!$C$3:$AO$3=Q$2),'Réel 2024'!$C$8:$AO$501)</f>
        <v>0</v>
      </c>
      <c r="R344" s="243"/>
      <c r="S344" s="266">
        <f t="shared" si="80"/>
        <v>17133.73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-6929.7800000000007</v>
      </c>
      <c r="M345" s="238"/>
      <c r="N345" s="286">
        <f t="shared" si="79"/>
        <v>-6929.7800000000007</v>
      </c>
      <c r="O345" s="238"/>
      <c r="P345" s="304"/>
      <c r="Q345" s="266" cm="1">
        <f t="array" ref="Q345">+SUMPRODUCT(('Réel 2024'!$A$8:$A$501=$A345)*('Réel 2024'!$C$3:$AO$3=Q$2),'Réel 2024'!$C$8:$AO$501)</f>
        <v>0</v>
      </c>
      <c r="R345" s="238"/>
      <c r="S345" s="286">
        <f t="shared" si="80"/>
        <v>-6929.7800000000007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22471.67</v>
      </c>
      <c r="M346" s="243"/>
      <c r="N346" s="266">
        <f t="shared" si="79"/>
        <v>22471.67</v>
      </c>
      <c r="O346" s="243"/>
      <c r="P346" s="38"/>
      <c r="Q346" s="303" cm="1">
        <f t="array" ref="Q346">+SUMPRODUCT(('Réel 2024'!$A$8:$A$501=$A346)*('Réel 2024'!$C$3:$AO$3=Q$2),'Réel 2024'!$C$8:$AO$501)</f>
        <v>0</v>
      </c>
      <c r="R346" s="243"/>
      <c r="S346" s="266">
        <f t="shared" si="80"/>
        <v>22471.67</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9984.9299999999985</v>
      </c>
      <c r="M347" s="243"/>
      <c r="N347" s="266">
        <f t="shared" si="79"/>
        <v>9984.9299999999985</v>
      </c>
      <c r="O347" s="243"/>
      <c r="P347" s="38"/>
      <c r="Q347" s="266" cm="1">
        <f t="array" ref="Q347">+SUMPRODUCT(('Réel 2024'!$A$8:$A$501=$A347)*('Réel 2024'!$C$3:$AO$3=Q$2),'Réel 2024'!$C$8:$AO$501)</f>
        <v>0</v>
      </c>
      <c r="R347" s="243"/>
      <c r="S347" s="266">
        <f t="shared" si="80"/>
        <v>9984.9299999999985</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55068.33</v>
      </c>
      <c r="M348" s="238"/>
      <c r="N348" s="286">
        <f t="shared" si="79"/>
        <v>55068.33</v>
      </c>
      <c r="O348" s="238"/>
      <c r="P348" s="304"/>
      <c r="Q348" s="266" cm="1">
        <f t="array" ref="Q348">+SUMPRODUCT(('Réel 2024'!$A$8:$A$501=$A348)*('Réel 2024'!$C$3:$AO$3=Q$2),'Réel 2024'!$C$8:$AO$501)</f>
        <v>0</v>
      </c>
      <c r="R348" s="238"/>
      <c r="S348" s="286">
        <f t="shared" si="80"/>
        <v>55068.33</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6184.47</v>
      </c>
      <c r="M352" s="243"/>
      <c r="N352" s="266">
        <f t="shared" si="79"/>
        <v>6184.47</v>
      </c>
      <c r="O352" s="243"/>
      <c r="P352" s="38"/>
      <c r="Q352" s="266" cm="1">
        <f t="array" ref="Q352">+SUMPRODUCT(('Réel 2024'!$A$8:$A$501=$A352)*('Réel 2024'!$C$3:$AO$3=Q$2),'Réel 2024'!$C$8:$AO$501)</f>
        <v>0</v>
      </c>
      <c r="R352" s="243"/>
      <c r="S352" s="266">
        <f t="shared" si="80"/>
        <v>6184.47</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3221.96</v>
      </c>
      <c r="M353" s="243"/>
      <c r="N353" s="266">
        <f t="shared" si="79"/>
        <v>3221.96</v>
      </c>
      <c r="O353" s="243"/>
      <c r="P353" s="38"/>
      <c r="Q353" s="266" cm="1">
        <f t="array" ref="Q353">+SUMPRODUCT(('Réel 2024'!$A$8:$A$501=$A353)*('Réel 2024'!$C$3:$AO$3=Q$2),'Réel 2024'!$C$8:$AO$501)</f>
        <v>0</v>
      </c>
      <c r="R353" s="243"/>
      <c r="S353" s="266">
        <f t="shared" si="80"/>
        <v>3221.96</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2873.55</v>
      </c>
      <c r="M354" s="243"/>
      <c r="N354" s="266">
        <f t="shared" si="79"/>
        <v>2873.55</v>
      </c>
      <c r="O354" s="243"/>
      <c r="P354" s="38"/>
      <c r="Q354" s="266" cm="1">
        <f t="array" ref="Q354">+SUMPRODUCT(('Réel 2024'!$A$8:$A$501=$A354)*('Réel 2024'!$C$3:$AO$3=Q$2),'Réel 2024'!$C$8:$AO$501)</f>
        <v>0</v>
      </c>
      <c r="R354" s="243"/>
      <c r="S354" s="266">
        <f t="shared" si="80"/>
        <v>2873.55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16640.580000000002</v>
      </c>
      <c r="M355" s="243"/>
      <c r="N355" s="266">
        <f t="shared" si="79"/>
        <v>16640.580000000002</v>
      </c>
      <c r="O355" s="243"/>
      <c r="P355" s="38"/>
      <c r="Q355" s="266" cm="1">
        <f t="array" ref="Q355">+SUMPRODUCT(('Réel 2024'!$A$8:$A$501=$A355)*('Réel 2024'!$C$3:$AO$3=Q$2),'Réel 2024'!$C$8:$AO$501)</f>
        <v>0</v>
      </c>
      <c r="R355" s="243"/>
      <c r="S355" s="266">
        <f t="shared" si="80"/>
        <v>16640.580000000002</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3456.85</v>
      </c>
      <c r="M356" s="243"/>
      <c r="N356" s="266">
        <f t="shared" si="79"/>
        <v>3456.85</v>
      </c>
      <c r="O356" s="243"/>
      <c r="P356" s="38"/>
      <c r="Q356" s="266" cm="1">
        <f t="array" ref="Q356">+SUMPRODUCT(('Réel 2024'!$A$8:$A$501=$A356)*('Réel 2024'!$C$3:$AO$3=Q$2),'Réel 2024'!$C$8:$AO$501)</f>
        <v>0</v>
      </c>
      <c r="R356" s="243"/>
      <c r="S356" s="266">
        <f t="shared" si="80"/>
        <v>3456.85</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1932.74</v>
      </c>
      <c r="M357" s="243"/>
      <c r="N357" s="266">
        <f t="shared" si="79"/>
        <v>1932.74</v>
      </c>
      <c r="O357" s="243"/>
      <c r="P357" s="38"/>
      <c r="Q357" s="266" cm="1">
        <f t="array" ref="Q357">+SUMPRODUCT(('Réel 2024'!$A$8:$A$501=$A357)*('Réel 2024'!$C$3:$AO$3=Q$2),'Réel 2024'!$C$8:$AO$501)</f>
        <v>0</v>
      </c>
      <c r="R357" s="243"/>
      <c r="S357" s="266">
        <f t="shared" si="80"/>
        <v>1932.74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3147</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0.22654576179148023</v>
      </c>
      <c r="L361" s="294">
        <f>+SUM(L343:L360)</f>
        <v>144039.32</v>
      </c>
      <c r="M361" s="296"/>
      <c r="N361" s="294">
        <f>+SUM(N343:N360)</f>
        <v>144039.32</v>
      </c>
      <c r="O361" s="295" t="s">
        <v>115</v>
      </c>
      <c r="P361" s="293">
        <f>IF(Q326=0,0,Q361/Q$326)</f>
        <v>0</v>
      </c>
      <c r="Q361" s="294">
        <f>+SUM(Q343:Q360)</f>
        <v>0</v>
      </c>
      <c r="R361" s="297"/>
      <c r="S361" s="294">
        <f t="shared" si="80"/>
        <v>144039.32</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15.124510059867267</v>
      </c>
      <c r="L363" s="294">
        <f>L342+L361</f>
        <v>510977.64</v>
      </c>
      <c r="M363" s="296"/>
      <c r="N363" s="294">
        <f>L363-F363</f>
        <v>510977.64</v>
      </c>
      <c r="O363" s="295" t="s">
        <v>115</v>
      </c>
      <c r="P363" s="293" t="e">
        <f>Q363/Q$326</f>
        <v>#DIV/0!</v>
      </c>
      <c r="Q363" s="294">
        <f>Q342+Q361</f>
        <v>0</v>
      </c>
      <c r="R363" s="297"/>
      <c r="S363" s="294">
        <f>L363-Q363</f>
        <v>510977.64</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169355.77000000002</v>
      </c>
      <c r="M365" s="960"/>
      <c r="N365" s="958">
        <f>L365-F365</f>
        <v>169355.77000000002</v>
      </c>
      <c r="O365" s="959"/>
      <c r="P365" s="957"/>
      <c r="Q365" s="958">
        <f>Q326-Q363</f>
        <v>0</v>
      </c>
      <c r="R365" s="961"/>
      <c r="S365" s="958">
        <f>L365-Q365</f>
        <v>169355.77000000002</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Décembre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7" t="s">
        <v>339</v>
      </c>
      <c r="E369" s="1072"/>
      <c r="F369" s="1073"/>
      <c r="G369" s="1074"/>
      <c r="H369" s="1072"/>
      <c r="I369" s="1073"/>
      <c r="J369" s="1074" t="s">
        <v>340</v>
      </c>
      <c r="K369" s="1072"/>
      <c r="L369" s="1073"/>
      <c r="M369" s="1074" t="s">
        <v>668</v>
      </c>
      <c r="N369" s="1073"/>
      <c r="O369" s="1067" t="s">
        <v>341</v>
      </c>
      <c r="P369" s="1072"/>
      <c r="Q369" s="1073"/>
      <c r="R369" s="1066" t="s">
        <v>670</v>
      </c>
      <c r="S369" s="1075"/>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734826.7</v>
      </c>
      <c r="K371" s="327">
        <f t="shared" ref="K371:K380" si="83">IF(J371&lt;=0,0,L371/J371)</f>
        <v>0.36190225532088038</v>
      </c>
      <c r="L371" s="266">
        <f>-SUMIFS(BV_Data_An_Cour!$AN:$AN,BV_Data_An_Cour!$AP:$AP,$B371,BV_Data_An_Cour!$AQ:$AQ,$C371,BV_Data_An_Cour!$AR:$AR,$L$2)</f>
        <v>265935.43999999994</v>
      </c>
      <c r="M371" s="282" t="e">
        <f t="shared" ref="M371:M377" si="84">(+J371-D371)/D371</f>
        <v>#DIV/0!</v>
      </c>
      <c r="N371" s="266">
        <f t="shared" ref="N371:N380" si="85">L371-F371</f>
        <v>265935.43999999994</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265935.43999999994</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380.2</v>
      </c>
      <c r="K372" s="327">
        <f t="shared" si="83"/>
        <v>-0.45541820094687019</v>
      </c>
      <c r="L372" s="266">
        <f>-SUMIFS(BV_Data_An_Cour!$AN:$AN,BV_Data_An_Cour!$AP:$AP,$B372,BV_Data_An_Cour!$AQ:$AQ,$C372,BV_Data_An_Cour!$AR:$AR,$L$2)</f>
        <v>-173.15000000000003</v>
      </c>
      <c r="M372" s="282" t="e">
        <f t="shared" si="84"/>
        <v>#DIV/0!</v>
      </c>
      <c r="N372" s="266">
        <f t="shared" si="85"/>
        <v>-173.15000000000003</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-173.15000000000003</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609714.63</v>
      </c>
      <c r="K373" s="327">
        <f t="shared" si="83"/>
        <v>0.2786820614752184</v>
      </c>
      <c r="L373" s="266">
        <f>-SUMIFS(BV_Data_An_Cour!$AN:$AN,BV_Data_An_Cour!$AP:$AP,$B373,BV_Data_An_Cour!$AQ:$AQ,$C373,BV_Data_An_Cour!$AR:$AR,$L$2)</f>
        <v>169916.53000000003</v>
      </c>
      <c r="M373" s="282" t="e">
        <f t="shared" si="84"/>
        <v>#DIV/0!</v>
      </c>
      <c r="N373" s="266">
        <f t="shared" si="85"/>
        <v>169916.53000000003</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169916.53000000003</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690852.63</v>
      </c>
      <c r="K374" s="327">
        <f t="shared" si="83"/>
        <v>0.2927472245419403</v>
      </c>
      <c r="L374" s="266">
        <f>-SUMIFS(BV_Data_An_Cour!$AN:$AN,BV_Data_An_Cour!$AP:$AP,$B374,BV_Data_An_Cour!$AQ:$AQ,$C374,BV_Data_An_Cour!$AR:$AR,$L$2)</f>
        <v>202245.19</v>
      </c>
      <c r="M374" s="282" t="e">
        <f t="shared" si="84"/>
        <v>#DIV/0!</v>
      </c>
      <c r="N374" s="266">
        <f t="shared" si="85"/>
        <v>202245.19</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202245.19</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361385.58</v>
      </c>
      <c r="K375" s="327">
        <f t="shared" si="83"/>
        <v>0.21800158711368617</v>
      </c>
      <c r="L375" s="266">
        <f>-SUMIFS(BV_Data_An_Cour!$AN:$AN,BV_Data_An_Cour!$AP:$AP,$B375,BV_Data_An_Cour!$AQ:$AQ,$C375,BV_Data_An_Cour!$AR:$AR,$L$2)</f>
        <v>78782.63</v>
      </c>
      <c r="M375" s="282" t="e">
        <f t="shared" si="84"/>
        <v>#DIV/0!</v>
      </c>
      <c r="N375" s="266">
        <f t="shared" si="85"/>
        <v>78782.63</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78782.63</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1672471.62</v>
      </c>
      <c r="K376" s="327">
        <f t="shared" si="83"/>
        <v>0.17367653150371548</v>
      </c>
      <c r="L376" s="266">
        <f>-SUMIFS(BV_Data_An_Cour!$AN:$AN,BV_Data_An_Cour!$AP:$AP,$B376,BV_Data_An_Cour!$AQ:$AQ,$C376,BV_Data_An_Cour!$AR:$AR,$L$2)</f>
        <v>290469.07000000007</v>
      </c>
      <c r="M376" s="282" t="e">
        <f t="shared" si="84"/>
        <v>#DIV/0!</v>
      </c>
      <c r="N376" s="266">
        <f t="shared" si="85"/>
        <v>290469.07000000007</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290469.07000000007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140165.95000000001</v>
      </c>
      <c r="M378" s="282"/>
      <c r="N378" s="266">
        <f t="shared" si="85"/>
        <v>140165.95000000001</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140165.95000000001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196730.82</v>
      </c>
      <c r="M379" s="282"/>
      <c r="N379" s="266">
        <f t="shared" si="85"/>
        <v>196730.82</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196730.82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4069631.36</v>
      </c>
      <c r="K380" s="370">
        <f t="shared" si="83"/>
        <v>0.33026885265598116</v>
      </c>
      <c r="L380" s="356">
        <f>SUM(L371:L379)</f>
        <v>1344072.4800000002</v>
      </c>
      <c r="M380" s="371" t="e">
        <f>(+J380-D380)/D380</f>
        <v>#DIV/0!</v>
      </c>
      <c r="N380" s="356">
        <f t="shared" si="85"/>
        <v>1344072.4800000002</v>
      </c>
      <c r="O380" s="355">
        <f t="shared" ref="O380" si="91">SUM(O371:O379)</f>
        <v>0</v>
      </c>
      <c r="P380" s="370">
        <f t="shared" si="86"/>
        <v>0</v>
      </c>
      <c r="Q380" s="356">
        <f>SUM(Q371:Q379)</f>
        <v>0</v>
      </c>
      <c r="R380" s="371">
        <f t="shared" si="87"/>
        <v>0</v>
      </c>
      <c r="S380" s="356">
        <f t="shared" si="88"/>
        <v>1344072.4800000002</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275366.23</v>
      </c>
      <c r="K383" s="327">
        <f t="shared" ref="K383:K385" si="93">IF(J383&lt;=0,0,L383/J383)</f>
        <v>0.14424571960040269</v>
      </c>
      <c r="L383" s="303">
        <f>-SUMIFS(BV_Data_An_Cour!$AN:$AN,BV_Data_An_Cour!$AP:$AP,$B383,BV_Data_An_Cour!$AQ:$AQ,$C383,BV_Data_An_Cour!$AR:$AR,$L$2)</f>
        <v>39720.399999999994</v>
      </c>
      <c r="M383" s="282" t="e">
        <f>(+J383-D383)/D383</f>
        <v>#DIV/0!</v>
      </c>
      <c r="N383" s="266">
        <f>L383-F383</f>
        <v>39720.399999999994</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39720.399999999994</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100296.46</v>
      </c>
      <c r="K384" s="327">
        <f t="shared" si="93"/>
        <v>0.23956099746690968</v>
      </c>
      <c r="L384" s="286">
        <f>-SUMIFS(BV_Data_An_Cour!$AN:$AN,BV_Data_An_Cour!$AP:$AP,$B384,BV_Data_An_Cour!$AQ:$AQ,$C384,BV_Data_An_Cour!$AR:$AR,$L$2)</f>
        <v>24027.12000000001</v>
      </c>
      <c r="M384" s="282" t="e">
        <f>(+J384-D384)/D384</f>
        <v>#DIV/0!</v>
      </c>
      <c r="N384" s="266">
        <f>L384-F384</f>
        <v>24027.12000000001</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24027.12000000001</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4445294.05</v>
      </c>
      <c r="K385" s="370">
        <f t="shared" si="93"/>
        <v>0.31669895943104154</v>
      </c>
      <c r="L385" s="356">
        <f>L380+L383+L384</f>
        <v>1407820.0000000002</v>
      </c>
      <c r="M385" s="371" t="e">
        <f>(+J385-D385)/D385</f>
        <v>#DIV/0!</v>
      </c>
      <c r="N385" s="356">
        <f>L385-F385</f>
        <v>1407820.0000000002</v>
      </c>
      <c r="O385" s="357">
        <f t="shared" ref="O385" si="99">O380+O383+O384</f>
        <v>0</v>
      </c>
      <c r="P385" s="370">
        <f t="shared" si="94"/>
        <v>0</v>
      </c>
      <c r="Q385" s="356">
        <f>Q380+Q383+Q384</f>
        <v>0</v>
      </c>
      <c r="R385" s="371">
        <f t="shared" si="95"/>
        <v>0</v>
      </c>
      <c r="S385" s="356">
        <f t="shared" si="96"/>
        <v>1407820.0000000002</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4445294.05</v>
      </c>
      <c r="K390" s="373">
        <f>IF(J390&lt;=0,0,L390/J390)</f>
        <v>0.31669895943104154</v>
      </c>
      <c r="L390" s="271">
        <f>L385+L388</f>
        <v>1407820.0000000002</v>
      </c>
      <c r="M390" s="272" t="e">
        <f>(+J390-D390)/D390</f>
        <v>#DIV/0!</v>
      </c>
      <c r="N390" s="271">
        <f>L390-F390</f>
        <v>1407820.0000000002</v>
      </c>
      <c r="O390" s="272">
        <f t="shared" ref="O390" si="102">O385+O388</f>
        <v>0</v>
      </c>
      <c r="P390" s="373">
        <f>IF(O390&lt;=0,0,Q390/O390)</f>
        <v>0</v>
      </c>
      <c r="Q390" s="271">
        <f>Q385+Q388</f>
        <v>0</v>
      </c>
      <c r="R390" s="363">
        <f>IF(O390=0,0,(J390-O390)/O390)</f>
        <v>0</v>
      </c>
      <c r="S390" s="271">
        <f>L390-Q390</f>
        <v>1407820.0000000002</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14542.06</v>
      </c>
      <c r="M394" s="243"/>
      <c r="N394" s="246">
        <f t="shared" ref="N394:N424" si="103">L394-F394</f>
        <v>14542.06</v>
      </c>
      <c r="O394" s="243"/>
      <c r="P394" s="38"/>
      <c r="Q394" s="266">
        <f>SUMIFS(BV_Data_An_Prec!$AN:$AN,BV_Data_An_Prec!$AP:$AP,$B394,BV_Data_An_Prec!$AQ:$AQ,$C394,BV_Data_An_Prec!$AR:$AR,$L$2)</f>
        <v>0</v>
      </c>
      <c r="R394" s="243"/>
      <c r="S394" s="266">
        <f t="shared" ref="S394:S424" si="104">L394-Q394</f>
        <v>14542.06</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32021.37</v>
      </c>
      <c r="M395" s="243"/>
      <c r="N395" s="246">
        <f t="shared" si="103"/>
        <v>32021.37</v>
      </c>
      <c r="O395" s="243"/>
      <c r="P395" s="38"/>
      <c r="Q395" s="266">
        <f>SUMIFS(BV_Data_An_Prec!$AN:$AN,BV_Data_An_Prec!$AP:$AP,$B395,BV_Data_An_Prec!$AQ:$AQ,$C395,BV_Data_An_Prec!$AR:$AR,$L$2)</f>
        <v>0</v>
      </c>
      <c r="R395" s="243"/>
      <c r="S395" s="266">
        <f t="shared" si="104"/>
        <v>32021.37</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214024.49</v>
      </c>
      <c r="M396" s="233"/>
      <c r="N396" s="262">
        <f t="shared" si="103"/>
        <v>214024.49</v>
      </c>
      <c r="O396" s="233"/>
      <c r="P396" s="301"/>
      <c r="Q396" s="303">
        <f>SUMIFS(BV_Data_An_Prec!$AN:$AN,BV_Data_An_Prec!$AP:$AP,$B396,BV_Data_An_Prec!$AQ:$AQ,$C396,BV_Data_An_Prec!$AR:$AR,$L$2)</f>
        <v>0</v>
      </c>
      <c r="R396" s="233"/>
      <c r="S396" s="303">
        <f t="shared" si="104"/>
        <v>214024.49</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25918.27</v>
      </c>
      <c r="M401" s="243"/>
      <c r="N401" s="246">
        <f t="shared" si="103"/>
        <v>25918.27</v>
      </c>
      <c r="O401" s="243"/>
      <c r="P401" s="38"/>
      <c r="Q401" s="266">
        <f>SUMIFS(BV_Data_An_Prec!$AN:$AN,BV_Data_An_Prec!$AP:$AP,$B401,BV_Data_An_Prec!$AQ:$AQ,$C401,BV_Data_An_Prec!$AR:$AR,$L$2)</f>
        <v>0</v>
      </c>
      <c r="R401" s="243"/>
      <c r="S401" s="266">
        <f t="shared" si="104"/>
        <v>25918.27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39473.599999999999</v>
      </c>
      <c r="M402" s="233"/>
      <c r="N402" s="262">
        <f t="shared" si="103"/>
        <v>39473.599999999999</v>
      </c>
      <c r="O402" s="233"/>
      <c r="P402" s="301"/>
      <c r="Q402" s="303">
        <f>SUMIFS(BV_Data_An_Prec!$AN:$AN,BV_Data_An_Prec!$AP:$AP,$B402,BV_Data_An_Prec!$AQ:$AQ,$C402,BV_Data_An_Prec!$AR:$AR,$L$2)</f>
        <v>0</v>
      </c>
      <c r="R402" s="233"/>
      <c r="S402" s="303">
        <f t="shared" si="104"/>
        <v>39473.599999999999</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27217.42</v>
      </c>
      <c r="M403" s="243"/>
      <c r="N403" s="246">
        <f t="shared" si="103"/>
        <v>27217.42</v>
      </c>
      <c r="O403" s="243"/>
      <c r="P403" s="38"/>
      <c r="Q403" s="266">
        <f>SUMIFS(BV_Data_An_Prec!$AN:$AN,BV_Data_An_Prec!$AP:$AP,$B403,BV_Data_An_Prec!$AQ:$AQ,$C403,BV_Data_An_Prec!$AR:$AR,$L$2)</f>
        <v>0</v>
      </c>
      <c r="R403" s="243"/>
      <c r="S403" s="266">
        <f t="shared" si="104"/>
        <v>27217.42</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-493.33000000000015</v>
      </c>
      <c r="M404" s="243"/>
      <c r="N404" s="246">
        <f t="shared" si="103"/>
        <v>-493.33000000000015</v>
      </c>
      <c r="O404" s="243"/>
      <c r="P404" s="38"/>
      <c r="Q404" s="266">
        <f>SUMIFS(BV_Data_An_Prec!$AN:$AN,BV_Data_An_Prec!$AP:$AP,$B404,BV_Data_An_Prec!$AQ:$AQ,$C404,BV_Data_An_Prec!$AR:$AR,$L$2)</f>
        <v>0</v>
      </c>
      <c r="R404" s="243"/>
      <c r="S404" s="266">
        <f t="shared" si="104"/>
        <v>-493.33000000000015</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0.25053194300407716</v>
      </c>
      <c r="L406" s="294">
        <f>+SUM(L394:L405)</f>
        <v>352703.87999999995</v>
      </c>
      <c r="M406" s="296"/>
      <c r="N406" s="294">
        <f t="shared" si="103"/>
        <v>352703.87999999995</v>
      </c>
      <c r="O406" s="295" t="s">
        <v>115</v>
      </c>
      <c r="P406" s="293" t="e">
        <f>Q406/Q$390</f>
        <v>#DIV/0!</v>
      </c>
      <c r="Q406" s="294">
        <f>+SUM(Q394:Q405)</f>
        <v>0</v>
      </c>
      <c r="R406" s="297"/>
      <c r="S406" s="294">
        <f t="shared" si="104"/>
        <v>352703.87999999995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16466.079999999998</v>
      </c>
      <c r="M407" s="243"/>
      <c r="N407" s="266">
        <f t="shared" si="103"/>
        <v>16466.079999999998</v>
      </c>
      <c r="O407" s="243"/>
      <c r="P407" s="38"/>
      <c r="Q407" s="266">
        <f>SUMIFS(BV_Data_An_Prec!$AN:$AN,BV_Data_An_Prec!$AP:$AP,$B407,BV_Data_An_Prec!$AQ:$AQ,$C407,BV_Data_An_Prec!$AR:$AR,$L$2)</f>
        <v>0</v>
      </c>
      <c r="R407" s="243"/>
      <c r="S407" s="266">
        <f t="shared" si="104"/>
        <v>16466.079999999998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2123.5300000000002</v>
      </c>
      <c r="M408" s="243"/>
      <c r="N408" s="266">
        <f t="shared" si="103"/>
        <v>2123.5300000000002</v>
      </c>
      <c r="O408" s="243"/>
      <c r="P408" s="38"/>
      <c r="Q408" s="266">
        <f>SUMIFS(BV_Data_An_Prec!$AN:$AN,BV_Data_An_Prec!$AP:$AP,$B408,BV_Data_An_Prec!$AQ:$AQ,$C408,BV_Data_An_Prec!$AR:$AR,$L$2)</f>
        <v>0</v>
      </c>
      <c r="R408" s="243"/>
      <c r="S408" s="266">
        <f t="shared" si="104"/>
        <v>2123.5300000000002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31295.32</v>
      </c>
      <c r="M409" s="238"/>
      <c r="N409" s="286">
        <f t="shared" si="103"/>
        <v>31295.32</v>
      </c>
      <c r="O409" s="238"/>
      <c r="P409" s="304"/>
      <c r="Q409" s="286">
        <f>SUMIFS(BV_Data_An_Prec!$AN:$AN,BV_Data_An_Prec!$AP:$AP,$B409,BV_Data_An_Prec!$AQ:$AQ,$C409,BV_Data_An_Prec!$AR:$AR,$L$2)</f>
        <v>0</v>
      </c>
      <c r="R409" s="238"/>
      <c r="S409" s="286">
        <f t="shared" si="104"/>
        <v>31295.32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21117.29</v>
      </c>
      <c r="M410" s="243"/>
      <c r="N410" s="266">
        <f t="shared" si="103"/>
        <v>21117.29</v>
      </c>
      <c r="O410" s="243"/>
      <c r="P410" s="38"/>
      <c r="Q410" s="266">
        <f>SUMIFS(BV_Data_An_Prec!$AN:$AN,BV_Data_An_Prec!$AP:$AP,$B410,BV_Data_An_Prec!$AQ:$AQ,$C410,BV_Data_An_Prec!$AR:$AR,$L$2)</f>
        <v>0</v>
      </c>
      <c r="R410" s="243"/>
      <c r="S410" s="266">
        <f t="shared" si="104"/>
        <v>21117.29</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11062.759999999998</v>
      </c>
      <c r="M411" s="243"/>
      <c r="N411" s="266">
        <f t="shared" si="103"/>
        <v>11062.759999999998</v>
      </c>
      <c r="O411" s="243"/>
      <c r="P411" s="38"/>
      <c r="Q411" s="266">
        <f>SUMIFS(BV_Data_An_Prec!$AN:$AN,BV_Data_An_Prec!$AP:$AP,$B411,BV_Data_An_Prec!$AQ:$AQ,$C411,BV_Data_An_Prec!$AR:$AR,$L$2)</f>
        <v>0</v>
      </c>
      <c r="R411" s="243"/>
      <c r="S411" s="266">
        <f t="shared" si="104"/>
        <v>11062.759999999998</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28965</v>
      </c>
      <c r="M412" s="238"/>
      <c r="N412" s="286">
        <f t="shared" si="103"/>
        <v>28965</v>
      </c>
      <c r="O412" s="238"/>
      <c r="P412" s="304"/>
      <c r="Q412" s="286">
        <f>SUMIFS(BV_Data_An_Prec!$AN:$AN,BV_Data_An_Prec!$AP:$AP,$B412,BV_Data_An_Prec!$AQ:$AQ,$C412,BV_Data_An_Prec!$AR:$AR,$L$2)</f>
        <v>0</v>
      </c>
      <c r="R412" s="238"/>
      <c r="S412" s="286">
        <f t="shared" si="104"/>
        <v>28965</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1551.66</v>
      </c>
      <c r="M414" s="243"/>
      <c r="N414" s="266">
        <f t="shared" si="103"/>
        <v>1551.66</v>
      </c>
      <c r="O414" s="243"/>
      <c r="P414" s="38"/>
      <c r="Q414" s="266">
        <f>SUMIFS(BV_Data_An_Prec!$AN:$AN,BV_Data_An_Prec!$AP:$AP,$B414,BV_Data_An_Prec!$AQ:$AQ,$C414,BV_Data_An_Prec!$AR:$AR,$L$2)</f>
        <v>0</v>
      </c>
      <c r="R414" s="243"/>
      <c r="S414" s="266">
        <f t="shared" si="104"/>
        <v>1551.66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6363.07</v>
      </c>
      <c r="M416" s="243"/>
      <c r="N416" s="266">
        <f t="shared" si="103"/>
        <v>6363.07</v>
      </c>
      <c r="O416" s="243"/>
      <c r="P416" s="38"/>
      <c r="Q416" s="266">
        <f>SUMIFS(BV_Data_An_Prec!$AN:$AN,BV_Data_An_Prec!$AP:$AP,$B416,BV_Data_An_Prec!$AQ:$AQ,$C416,BV_Data_An_Prec!$AR:$AR,$L$2)</f>
        <v>0</v>
      </c>
      <c r="R416" s="243"/>
      <c r="S416" s="266">
        <f t="shared" si="104"/>
        <v>6363.07</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3291.93</v>
      </c>
      <c r="M417" s="243"/>
      <c r="N417" s="266">
        <f t="shared" si="103"/>
        <v>3291.93</v>
      </c>
      <c r="O417" s="243"/>
      <c r="P417" s="38"/>
      <c r="Q417" s="266">
        <f>SUMIFS(BV_Data_An_Prec!$AN:$AN,BV_Data_An_Prec!$AP:$AP,$B417,BV_Data_An_Prec!$AQ:$AQ,$C417,BV_Data_An_Prec!$AR:$AR,$L$2)</f>
        <v>0</v>
      </c>
      <c r="R417" s="243"/>
      <c r="S417" s="266">
        <f t="shared" si="104"/>
        <v>3291.93</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7330.78</v>
      </c>
      <c r="M418" s="243"/>
      <c r="N418" s="266">
        <f t="shared" si="103"/>
        <v>7330.78</v>
      </c>
      <c r="O418" s="243"/>
      <c r="P418" s="38"/>
      <c r="Q418" s="266">
        <f>SUMIFS(BV_Data_An_Prec!$AN:$AN,BV_Data_An_Prec!$AP:$AP,$B418,BV_Data_An_Prec!$AQ:$AQ,$C418,BV_Data_An_Prec!$AR:$AR,$L$2)</f>
        <v>0</v>
      </c>
      <c r="R418" s="243"/>
      <c r="S418" s="266">
        <f t="shared" si="104"/>
        <v>7330.78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17836.419999999998</v>
      </c>
      <c r="M419" s="243"/>
      <c r="N419" s="266">
        <f t="shared" si="103"/>
        <v>17836.419999999998</v>
      </c>
      <c r="O419" s="243"/>
      <c r="P419" s="38"/>
      <c r="Q419" s="266">
        <f>SUMIFS(BV_Data_An_Prec!$AN:$AN,BV_Data_An_Prec!$AP:$AP,$B419,BV_Data_An_Prec!$AQ:$AQ,$C419,BV_Data_An_Prec!$AR:$AR,$L$2)</f>
        <v>0</v>
      </c>
      <c r="R419" s="243"/>
      <c r="S419" s="266">
        <f t="shared" si="104"/>
        <v>17836.419999999998</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6018.5</v>
      </c>
      <c r="M420" s="243"/>
      <c r="N420" s="266">
        <f t="shared" si="103"/>
        <v>6018.5</v>
      </c>
      <c r="O420" s="243"/>
      <c r="P420" s="38"/>
      <c r="Q420" s="266">
        <f>SUMIFS(BV_Data_An_Prec!$AN:$AN,BV_Data_An_Prec!$AP:$AP,$B420,BV_Data_An_Prec!$AQ:$AQ,$C420,BV_Data_An_Prec!$AR:$AR,$L$2)</f>
        <v>0</v>
      </c>
      <c r="R420" s="243"/>
      <c r="S420" s="266">
        <f t="shared" si="104"/>
        <v>6018.5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1932.6299999999999</v>
      </c>
      <c r="M421" s="243"/>
      <c r="N421" s="266">
        <f t="shared" si="103"/>
        <v>1932.6299999999999</v>
      </c>
      <c r="O421" s="243"/>
      <c r="P421" s="38"/>
      <c r="Q421" s="266">
        <f>SUMIFS(BV_Data_An_Prec!$AN:$AN,BV_Data_An_Prec!$AP:$AP,$B421,BV_Data_An_Prec!$AQ:$AQ,$C421,BV_Data_An_Prec!$AR:$AR,Q$2)</f>
        <v>0</v>
      </c>
      <c r="R421" s="243"/>
      <c r="S421" s="266">
        <f t="shared" si="104"/>
        <v>1932.6299999999999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0.11035144407665749</v>
      </c>
      <c r="L425" s="294">
        <f>+SUM(L407:L424)</f>
        <v>155354.96999999997</v>
      </c>
      <c r="M425" s="296"/>
      <c r="N425" s="294">
        <f>+SUM(N407:N424)</f>
        <v>155354.96999999997</v>
      </c>
      <c r="O425" s="295" t="s">
        <v>115</v>
      </c>
      <c r="P425" s="293" t="e">
        <f>Q425/Q$390</f>
        <v>#DIV/0!</v>
      </c>
      <c r="Q425" s="294">
        <f>+SUM(Q407:Q424)</f>
        <v>0</v>
      </c>
      <c r="R425" s="297"/>
      <c r="S425" s="294">
        <f>+SUM(S407:S424)</f>
        <v>155354.96999999997</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0.36088338708073464</v>
      </c>
      <c r="L427" s="294">
        <f>L406+L425</f>
        <v>508058.84999999992</v>
      </c>
      <c r="M427" s="296"/>
      <c r="N427" s="294">
        <f>L427-F427</f>
        <v>508058.84999999992</v>
      </c>
      <c r="O427" s="295" t="s">
        <v>115</v>
      </c>
      <c r="P427" s="293" t="e">
        <f>Q427/Q$390</f>
        <v>#DIV/0!</v>
      </c>
      <c r="Q427" s="294">
        <f>Q406+Q425</f>
        <v>0</v>
      </c>
      <c r="R427" s="297"/>
      <c r="S427" s="294">
        <f>L427-Q427</f>
        <v>508058.84999999992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899761.15000000037</v>
      </c>
      <c r="M429" s="960"/>
      <c r="N429" s="958">
        <f>L429-F429</f>
        <v>899761.15000000037</v>
      </c>
      <c r="O429" s="959"/>
      <c r="P429" s="957"/>
      <c r="Q429" s="958">
        <f>Q390-Q427</f>
        <v>0</v>
      </c>
      <c r="R429" s="961"/>
      <c r="S429" s="958">
        <f>L429-Q429</f>
        <v>899761.15000000037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1161</v>
      </c>
      <c r="L432" s="911"/>
      <c r="M432" s="911"/>
      <c r="N432" s="915"/>
      <c r="O432" s="653"/>
      <c r="P432" s="654"/>
      <c r="Q432" s="653"/>
      <c r="R432" s="654"/>
      <c r="S432" s="655" t="str">
        <f>$S$1</f>
        <v>Réalisé AAD, Décembre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7" t="s">
        <v>339</v>
      </c>
      <c r="E434" s="1072"/>
      <c r="F434" s="1073"/>
      <c r="G434" s="1074"/>
      <c r="H434" s="1072"/>
      <c r="I434" s="1073"/>
      <c r="J434" s="1074" t="s">
        <v>340</v>
      </c>
      <c r="K434" s="1072"/>
      <c r="L434" s="1073"/>
      <c r="M434" s="1074"/>
      <c r="N434" s="1073"/>
      <c r="O434" s="1067" t="s">
        <v>341</v>
      </c>
      <c r="P434" s="1072"/>
      <c r="Q434" s="1073"/>
      <c r="R434" s="1074" t="s">
        <v>342</v>
      </c>
      <c r="S434" s="1073"/>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1161</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1161</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1161</v>
      </c>
      <c r="C437" s="681" t="s">
        <v>1169</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1161</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1161</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1161</v>
      </c>
      <c r="C440" s="926" t="s">
        <v>1170</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972085.02</v>
      </c>
      <c r="L440" s="303">
        <f>-SUMIFS(BV_Data_An_Cour!$AN:$AN,BV_Data_An_Cour!$AP:$AP,$B440,BV_Data_An_Cour!$AQ:$AQ,$C440,BV_Data_An_Cour!$AR:$AR,$L$2)</f>
        <v>727910.53</v>
      </c>
      <c r="M440" s="340">
        <f>IFERROR((K440-E440)/E440,0)</f>
        <v>0</v>
      </c>
      <c r="N440" s="303">
        <f>L440-F440</f>
        <v>727910.53</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727910.53</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1161</v>
      </c>
      <c r="C441" s="243" t="s">
        <v>161</v>
      </c>
      <c r="D441" s="38"/>
      <c r="E441" s="325"/>
      <c r="F441" s="332">
        <f>IFERROR(F440/E440,0)</f>
        <v>0</v>
      </c>
      <c r="G441" s="243"/>
      <c r="H441" s="325"/>
      <c r="I441" s="332"/>
      <c r="J441" s="267"/>
      <c r="K441" s="38"/>
      <c r="L441" s="332">
        <f>IFERROR(L440/K440,0)</f>
        <v>0.74881364800786665</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1161</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1161</v>
      </c>
      <c r="C443" s="926" t="s">
        <v>1168</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13470</v>
      </c>
      <c r="L443" s="266">
        <f>-SUMIFS(BV_Data_An_Cour!$AN:$AN,BV_Data_An_Cour!$AP:$AP,$B443,BV_Data_An_Cour!$AQ:$AQ,$C443,BV_Data_An_Cour!$AR:$AR,$L$2)</f>
        <v>10008.65</v>
      </c>
      <c r="M443" s="282">
        <f>IFERROR((K443-E443)/E443,0)</f>
        <v>0</v>
      </c>
      <c r="N443" s="303">
        <f>L443-F443</f>
        <v>10008.65</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10008.65</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1161</v>
      </c>
      <c r="C444" s="243" t="s">
        <v>161</v>
      </c>
      <c r="D444" s="38"/>
      <c r="E444" s="38"/>
      <c r="F444" s="332">
        <f>IFERROR(F443/E443,0)</f>
        <v>0</v>
      </c>
      <c r="G444" s="243"/>
      <c r="H444" s="325"/>
      <c r="I444" s="332"/>
      <c r="J444" s="267"/>
      <c r="K444" s="38"/>
      <c r="L444" s="332">
        <f>IFERROR(L443/K443,0)</f>
        <v>0.7430326651818856</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1161</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1161</v>
      </c>
      <c r="C446" s="681" t="s">
        <v>1175</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1161</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1161</v>
      </c>
      <c r="C448" s="268" t="s">
        <v>1167</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985555.02</v>
      </c>
      <c r="L448" s="271">
        <f>L437+L440+L443</f>
        <v>737919.18</v>
      </c>
      <c r="M448" s="272"/>
      <c r="N448" s="271"/>
      <c r="O448" s="272"/>
      <c r="P448" s="269">
        <f>P437+P440+P443</f>
        <v>0</v>
      </c>
      <c r="Q448" s="271">
        <f>Q437+Q440+Q443</f>
        <v>0</v>
      </c>
      <c r="R448" s="272">
        <f>IF(O448=0,0,(J448-O448)/O448)</f>
        <v>0</v>
      </c>
      <c r="S448" s="271">
        <f>L448-Q448</f>
        <v>737919.18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1161</v>
      </c>
      <c r="C449" s="273"/>
      <c r="D449" s="274"/>
      <c r="E449" s="274"/>
      <c r="F449" s="275"/>
      <c r="G449" s="273"/>
      <c r="H449" s="274"/>
      <c r="I449" s="275"/>
      <c r="J449" s="273"/>
      <c r="K449" s="947"/>
      <c r="L449" s="326">
        <f>L448/K448</f>
        <v>0.74873463685467301</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1161</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1161</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1161</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1161</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1161</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1161</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1161</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1161</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1161</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1161</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1161</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1161</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1161</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1161</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1161</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1161</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1161</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1161</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1161</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1161</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1161</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1161</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1161</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1161</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1161</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1161</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1161</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1161</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1161</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1161</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1161</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1161</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737919.18</v>
      </c>
      <c r="M486" s="960"/>
      <c r="N486" s="958"/>
      <c r="O486" s="959"/>
      <c r="P486" s="957"/>
      <c r="Q486" s="958">
        <f>Q448-Q484</f>
        <v>0</v>
      </c>
      <c r="R486" s="961"/>
      <c r="S486" s="958">
        <f>L486-Q486</f>
        <v>737919.18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-53022.71</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Décembre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6" t="s">
        <v>592</v>
      </c>
      <c r="Y491" s="1070"/>
      <c r="Z491" s="1077"/>
      <c r="AA491" s="1069"/>
      <c r="AB491" s="1070"/>
      <c r="AC491" s="1077"/>
      <c r="AD491" s="1069" t="s">
        <v>340</v>
      </c>
      <c r="AE491" s="1070"/>
      <c r="AF491" s="1077"/>
      <c r="AG491" s="1069" t="s">
        <v>668</v>
      </c>
      <c r="AH491" s="1070"/>
      <c r="AI491" s="1077"/>
      <c r="AJ491" s="1069" t="s">
        <v>593</v>
      </c>
      <c r="AK491" s="1070"/>
      <c r="AL491" s="1070"/>
      <c r="AM491" s="1069" t="s">
        <v>594</v>
      </c>
      <c r="AN491" s="1070"/>
      <c r="AO491" s="1071"/>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259665683.49000004</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4.0877269792982784E-2</v>
      </c>
      <c r="AE494" s="393"/>
      <c r="AF494" s="391">
        <f>L27+L109+L182+L268+L326+L390+L448</f>
        <v>10614424.200000007</v>
      </c>
      <c r="AG494" s="392"/>
      <c r="AH494" s="393" t="e">
        <f>AF494-Z494</f>
        <v>#REF!</v>
      </c>
      <c r="AI494" s="394" t="e">
        <f>AH494/Z494</f>
        <v>#REF!</v>
      </c>
      <c r="AJ494" s="754" t="e">
        <f>+AL494/AL493</f>
        <v>#DIV/0!</v>
      </c>
      <c r="AK494" s="393"/>
      <c r="AL494" s="391">
        <f>Q27+Q109+Q182+Q268+Q326+Q390+Q448</f>
        <v>0</v>
      </c>
      <c r="AM494" s="395"/>
      <c r="AN494" s="393">
        <f>AF494-AL494</f>
        <v>10614424.200000007</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817.45811512415355</v>
      </c>
      <c r="AF496" s="399">
        <f t="shared" ref="AF496:AF505" si="110">+SUMIF($C:$C,$V496,L:L)</f>
        <v>724267.89</v>
      </c>
      <c r="AG496" s="400" t="e">
        <f t="shared" ref="AG496:AG505" si="111">AE496-Y496</f>
        <v>#DIV/0!</v>
      </c>
      <c r="AH496" s="401">
        <f t="shared" ref="AH496:AH505" si="112">AF496-Z496</f>
        <v>724267.89</v>
      </c>
      <c r="AI496" s="402">
        <f t="shared" ref="AI496:AI505" si="113">IF(Z496=0,0,AH496/Z496)</f>
        <v>0</v>
      </c>
      <c r="AJ496" s="407"/>
      <c r="AK496" s="401">
        <f>IF(AL496=0,0,AL496/(O$13+O$97))</f>
        <v>0</v>
      </c>
      <c r="AL496" s="399">
        <f>SUMIFS(BV_Data_An_Prec!$AN:$AN,BV_Data_An_Prec!$AQ:$AQ,$V496)</f>
        <v>0</v>
      </c>
      <c r="AM496" s="403">
        <f>AE496-AK496</f>
        <v>817.45811512415355</v>
      </c>
      <c r="AN496" s="401">
        <f>AF496-AL496</f>
        <v>724267.89</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214.40016930022571</v>
      </c>
      <c r="AF497" s="383">
        <f t="shared" si="110"/>
        <v>189958.55</v>
      </c>
      <c r="AG497" s="384" t="e">
        <f t="shared" si="111"/>
        <v>#DIV/0!</v>
      </c>
      <c r="AH497" s="385">
        <f t="shared" si="112"/>
        <v>189958.55</v>
      </c>
      <c r="AI497" s="412">
        <f t="shared" si="113"/>
        <v>0</v>
      </c>
      <c r="AJ497" s="411"/>
      <c r="AK497" s="385">
        <f t="shared" ref="AK497:AK504" si="115">IF(AL497=0,0,AL497/(O$13+O$97))</f>
        <v>0</v>
      </c>
      <c r="AL497" s="383">
        <f>SUMIFS(BV_Data_An_Prec!$AN:$AN,BV_Data_An_Prec!$AQ:$AQ,$V497)</f>
        <v>0</v>
      </c>
      <c r="AM497" s="993">
        <f t="shared" ref="AM497:AM504" si="116">AE497-AK497</f>
        <v>214.40016930022571</v>
      </c>
      <c r="AN497" s="385">
        <f t="shared" ref="AN497:AN504" si="117">AF497-AL497</f>
        <v>189958.55</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-59.845045146726861</v>
      </c>
      <c r="AF498" s="399">
        <f t="shared" si="110"/>
        <v>-53022.71</v>
      </c>
      <c r="AG498" s="400" t="e">
        <f t="shared" si="111"/>
        <v>#DIV/0!</v>
      </c>
      <c r="AH498" s="401">
        <f t="shared" si="112"/>
        <v>-53022.71</v>
      </c>
      <c r="AI498" s="402">
        <f t="shared" si="113"/>
        <v>0</v>
      </c>
      <c r="AJ498" s="407"/>
      <c r="AK498" s="401">
        <f t="shared" si="115"/>
        <v>0</v>
      </c>
      <c r="AL498" s="399">
        <f>SUMIFS(BV_Data_An_Prec!$AN:$AN,BV_Data_An_Prec!$AQ:$AQ,$V498)</f>
        <v>0</v>
      </c>
      <c r="AM498" s="403">
        <f t="shared" si="116"/>
        <v>-59.845045146726861</v>
      </c>
      <c r="AN498" s="401">
        <f t="shared" si="117"/>
        <v>-53022.71</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12.755575620767493</v>
      </c>
      <c r="AF499" s="399">
        <f t="shared" si="110"/>
        <v>11301.439999999999</v>
      </c>
      <c r="AG499" s="400" t="e">
        <f t="shared" si="111"/>
        <v>#DIV/0!</v>
      </c>
      <c r="AH499" s="401">
        <f t="shared" si="112"/>
        <v>11301.439999999999</v>
      </c>
      <c r="AI499" s="402">
        <f t="shared" si="113"/>
        <v>0</v>
      </c>
      <c r="AJ499" s="407"/>
      <c r="AK499" s="401">
        <f t="shared" si="115"/>
        <v>0</v>
      </c>
      <c r="AL499" s="399">
        <f>SUMIFS(BV_Data_An_Prec!$AN:$AN,BV_Data_An_Prec!$AQ:$AQ,$V499)</f>
        <v>0</v>
      </c>
      <c r="AM499" s="403">
        <f t="shared" si="116"/>
        <v>12.755575620767493</v>
      </c>
      <c r="AN499" s="401">
        <f t="shared" si="117"/>
        <v>11301.439999999999</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-322.96436794582394</v>
      </c>
      <c r="AF501" s="399">
        <f t="shared" si="110"/>
        <v>-286146.43</v>
      </c>
      <c r="AG501" s="400" t="e">
        <f t="shared" si="111"/>
        <v>#DIV/0!</v>
      </c>
      <c r="AH501" s="401">
        <f t="shared" si="112"/>
        <v>-286146.43</v>
      </c>
      <c r="AI501" s="402">
        <f t="shared" si="113"/>
        <v>0</v>
      </c>
      <c r="AJ501" s="407"/>
      <c r="AK501" s="401">
        <f t="shared" si="115"/>
        <v>0</v>
      </c>
      <c r="AL501" s="399">
        <f>SUMIFS(BV_Data_An_Prec!$AN:$AN,BV_Data_An_Prec!$AQ:$AQ,$V501)</f>
        <v>0</v>
      </c>
      <c r="AM501" s="403">
        <f t="shared" si="116"/>
        <v>-322.96436794582394</v>
      </c>
      <c r="AN501" s="401">
        <f t="shared" si="117"/>
        <v>-286146.43</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1640.9072460496616</v>
      </c>
      <c r="AF502" s="399">
        <f t="shared" si="110"/>
        <v>1453843.82</v>
      </c>
      <c r="AG502" s="704" t="e">
        <f t="shared" si="111"/>
        <v>#DIV/0!</v>
      </c>
      <c r="AH502" s="659">
        <f t="shared" si="112"/>
        <v>1453843.82</v>
      </c>
      <c r="AI502" s="402">
        <f t="shared" si="113"/>
        <v>0</v>
      </c>
      <c r="AJ502" s="407"/>
      <c r="AK502" s="401">
        <f t="shared" si="115"/>
        <v>0</v>
      </c>
      <c r="AL502" s="399">
        <f>SUMIFS(BV_Data_An_Prec!$AN:$AN,BV_Data_An_Prec!$AQ:$AQ,$V502)</f>
        <v>0</v>
      </c>
      <c r="AM502" s="403">
        <f t="shared" si="116"/>
        <v>1640.9072460496616</v>
      </c>
      <c r="AN502" s="401">
        <f t="shared" si="117"/>
        <v>1453843.82</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3128</v>
      </c>
      <c r="W503" s="405"/>
      <c r="X503" s="402"/>
      <c r="Y503" s="406" t="e">
        <f t="shared" si="108"/>
        <v>#DIV/0!</v>
      </c>
      <c r="Z503" s="399">
        <f t="shared" si="109"/>
        <v>0</v>
      </c>
      <c r="AA503" s="398"/>
      <c r="AB503" s="406"/>
      <c r="AC503" s="399"/>
      <c r="AD503" s="407"/>
      <c r="AE503" s="401">
        <f>IF(AF503=0,0,AF503/(J$13+J$97))</f>
        <v>-3525.6311399548531</v>
      </c>
      <c r="AF503" s="399">
        <f t="shared" si="110"/>
        <v>-3123709.19</v>
      </c>
      <c r="AG503" s="400" t="e">
        <f t="shared" si="111"/>
        <v>#DIV/0!</v>
      </c>
      <c r="AH503" s="401">
        <f t="shared" si="112"/>
        <v>-3123709.19</v>
      </c>
      <c r="AI503" s="402">
        <f t="shared" si="113"/>
        <v>0</v>
      </c>
      <c r="AJ503" s="407"/>
      <c r="AK503" s="401">
        <f t="shared" si="115"/>
        <v>0</v>
      </c>
      <c r="AL503" s="399">
        <f>SUMIFS(BV_Data_An_Prec!$AN:$AN,BV_Data_An_Prec!$AQ:$AQ,$V503)</f>
        <v>0</v>
      </c>
      <c r="AM503" s="403">
        <f>AE503-AK503</f>
        <v>-3525.6311399548531</v>
      </c>
      <c r="AN503" s="401">
        <f t="shared" si="117"/>
        <v>-3123709.19</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3129</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-0.10207870060440953</v>
      </c>
      <c r="AE506" s="419"/>
      <c r="AF506" s="416">
        <f>SUM(AF496:AF505)</f>
        <v>-1083506.6299999999</v>
      </c>
      <c r="AG506" s="418"/>
      <c r="AH506" s="419">
        <f t="shared" ref="AH506:AH538" si="124">AF506-Z506</f>
        <v>-1083506.6299999999</v>
      </c>
      <c r="AI506" s="415" t="e">
        <f>AH506/Z506</f>
        <v>#DIV/0!</v>
      </c>
      <c r="AJ506" s="417">
        <f>IF($AL$494=0,0,AL506/$AL$494)</f>
        <v>0</v>
      </c>
      <c r="AK506" s="419"/>
      <c r="AL506" s="416">
        <f>SUM(AL496:AL505)</f>
        <v>0</v>
      </c>
      <c r="AM506" s="423"/>
      <c r="AN506" s="419">
        <f t="shared" si="122"/>
        <v>-1083506.6299999999</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396452.19</v>
      </c>
      <c r="AG507" s="400"/>
      <c r="AH507" s="401">
        <f t="shared" si="124"/>
        <v>396452.19</v>
      </c>
      <c r="AI507" s="402">
        <f t="shared" ref="AI507:AI519" si="125">IF(Z507=0,0,AH507/Z507)</f>
        <v>0</v>
      </c>
      <c r="AJ507" s="407"/>
      <c r="AK507" s="406"/>
      <c r="AL507" s="399">
        <f>SUMIFS(BV_Data_An_Prec!$AN:$AN,BV_Data_An_Prec!$AQ:$AQ,$V507)</f>
        <v>0</v>
      </c>
      <c r="AM507" s="403"/>
      <c r="AN507" s="401">
        <f t="shared" si="122"/>
        <v>396452.19</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935181.66</v>
      </c>
      <c r="AG508" s="400"/>
      <c r="AH508" s="401">
        <f t="shared" si="124"/>
        <v>935181.66</v>
      </c>
      <c r="AI508" s="402">
        <f t="shared" si="125"/>
        <v>0</v>
      </c>
      <c r="AJ508" s="407"/>
      <c r="AK508" s="406"/>
      <c r="AL508" s="399">
        <f>SUMIFS(BV_Data_An_Prec!$AN:$AN,BV_Data_An_Prec!$AQ:$AQ,$V508)</f>
        <v>0</v>
      </c>
      <c r="AM508" s="403"/>
      <c r="AN508" s="401">
        <f t="shared" si="122"/>
        <v>935181.66</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955304.10000000009</v>
      </c>
      <c r="AG509" s="384"/>
      <c r="AH509" s="385">
        <f t="shared" si="124"/>
        <v>955304.10000000009</v>
      </c>
      <c r="AI509" s="412">
        <f t="shared" si="125"/>
        <v>0</v>
      </c>
      <c r="AJ509" s="411"/>
      <c r="AK509" s="410"/>
      <c r="AL509" s="383">
        <f>SUMIFS(BV_Data_An_Prec!$AN:$AN,BV_Data_An_Prec!$AQ:$AQ,$V509)</f>
        <v>0</v>
      </c>
      <c r="AM509" s="387"/>
      <c r="AN509" s="385">
        <f t="shared" si="122"/>
        <v>955304.10000000009</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1074836.27</v>
      </c>
      <c r="AG510" s="400"/>
      <c r="AH510" s="401">
        <f t="shared" si="124"/>
        <v>1074836.27</v>
      </c>
      <c r="AI510" s="402">
        <f t="shared" si="125"/>
        <v>0</v>
      </c>
      <c r="AJ510" s="407"/>
      <c r="AK510" s="406"/>
      <c r="AL510" s="399">
        <f>SUMIFS(BV_Data_An_Prec!$AN:$AN,BV_Data_An_Prec!$AQ:$AQ,$V510)</f>
        <v>0</v>
      </c>
      <c r="AM510" s="403"/>
      <c r="AN510" s="401">
        <f t="shared" si="122"/>
        <v>1074836.27</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443327.05000000005</v>
      </c>
      <c r="AG515" s="384"/>
      <c r="AH515" s="385">
        <f t="shared" si="124"/>
        <v>443327.05000000005</v>
      </c>
      <c r="AI515" s="412">
        <f t="shared" si="125"/>
        <v>0</v>
      </c>
      <c r="AJ515" s="411"/>
      <c r="AK515" s="410"/>
      <c r="AL515" s="383">
        <f>SUMIFS(BV_Data_An_Prec!$AN:$AN,BV_Data_An_Prec!$AQ:$AQ,$V515)</f>
        <v>0</v>
      </c>
      <c r="AM515" s="387"/>
      <c r="AN515" s="385">
        <f t="shared" si="122"/>
        <v>443327.05000000005</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640431.66999999993</v>
      </c>
      <c r="AG516" s="400"/>
      <c r="AH516" s="401">
        <f t="shared" si="124"/>
        <v>640431.66999999993</v>
      </c>
      <c r="AI516" s="402">
        <f t="shared" si="125"/>
        <v>0</v>
      </c>
      <c r="AJ516" s="407"/>
      <c r="AK516" s="406"/>
      <c r="AL516" s="399">
        <f>SUMIFS(BV_Data_An_Prec!$AN:$AN,BV_Data_An_Prec!$AQ:$AQ,$V516)</f>
        <v>0</v>
      </c>
      <c r="AM516" s="403"/>
      <c r="AN516" s="401">
        <f t="shared" si="122"/>
        <v>640431.66999999993</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382006.80999999994</v>
      </c>
      <c r="AG517" s="400"/>
      <c r="AH517" s="401">
        <f t="shared" si="124"/>
        <v>382006.80999999994</v>
      </c>
      <c r="AI517" s="402">
        <f t="shared" si="125"/>
        <v>0</v>
      </c>
      <c r="AJ517" s="407"/>
      <c r="AK517" s="406"/>
      <c r="AL517" s="399">
        <f>SUMIFS(BV_Data_An_Prec!$AN:$AN,BV_Data_An_Prec!$AQ:$AQ,$V517)</f>
        <v>0</v>
      </c>
      <c r="AM517" s="403"/>
      <c r="AN517" s="401">
        <f t="shared" si="122"/>
        <v>382006.80999999994</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-10148.529999999999</v>
      </c>
      <c r="AG518" s="400"/>
      <c r="AH518" s="401">
        <f t="shared" si="124"/>
        <v>-10148.529999999999</v>
      </c>
      <c r="AI518" s="420">
        <f t="shared" si="125"/>
        <v>0</v>
      </c>
      <c r="AJ518" s="407"/>
      <c r="AK518" s="406"/>
      <c r="AL518" s="399">
        <f>SUMIFS(BV_Data_An_Prec!$AN:$AN,BV_Data_An_Prec!$AQ:$AQ,$V518)</f>
        <v>0</v>
      </c>
      <c r="AM518" s="403"/>
      <c r="AN518" s="401">
        <f t="shared" si="122"/>
        <v>-10148.529999999999</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0.45385327825884297</v>
      </c>
      <c r="AE520" s="421"/>
      <c r="AF520" s="416">
        <f>SUM(AF507:AF519)</f>
        <v>4817391.22</v>
      </c>
      <c r="AG520" s="418"/>
      <c r="AH520" s="419">
        <f t="shared" si="124"/>
        <v>4817391.22</v>
      </c>
      <c r="AI520" s="415" t="e">
        <f>AH520/Z520</f>
        <v>#DIV/0!</v>
      </c>
      <c r="AJ520" s="417">
        <f>IF($AL$494=0,0,AL520/$AL$494)</f>
        <v>0</v>
      </c>
      <c r="AK520" s="421"/>
      <c r="AL520" s="416">
        <f>SUM(AL507:AL519)</f>
        <v>0</v>
      </c>
      <c r="AM520" s="423"/>
      <c r="AN520" s="419">
        <f t="shared" si="122"/>
        <v>4817391.22</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59431.5</v>
      </c>
      <c r="AG521" s="427"/>
      <c r="AH521" s="429">
        <f t="shared" si="124"/>
        <v>59431.5</v>
      </c>
      <c r="AI521" s="430">
        <f t="shared" ref="AI521:AI538" si="129">IF(Z521=0,0,AH521/Z521)</f>
        <v>0</v>
      </c>
      <c r="AJ521" s="427"/>
      <c r="AK521" s="428"/>
      <c r="AL521" s="426">
        <f>SUMIFS(BV_Data_An_Prec!$AN:$AN,BV_Data_An_Prec!$AQ:$AQ,$V521)</f>
        <v>0</v>
      </c>
      <c r="AM521" s="431"/>
      <c r="AN521" s="429">
        <f t="shared" si="122"/>
        <v>59431.5</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60297.47</v>
      </c>
      <c r="AG522" s="400"/>
      <c r="AH522" s="401">
        <f t="shared" si="124"/>
        <v>60297.47</v>
      </c>
      <c r="AI522" s="402">
        <f t="shared" si="129"/>
        <v>0</v>
      </c>
      <c r="AJ522" s="407"/>
      <c r="AK522" s="406"/>
      <c r="AL522" s="399">
        <f>SUMIFS(BV_Data_An_Prec!$AN:$AN,BV_Data_An_Prec!$AQ:$AQ,$V522)</f>
        <v>0</v>
      </c>
      <c r="AM522" s="403"/>
      <c r="AN522" s="401">
        <f t="shared" si="122"/>
        <v>60297.47</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172753.84</v>
      </c>
      <c r="AG523" s="384"/>
      <c r="AH523" s="385">
        <f t="shared" si="124"/>
        <v>172753.84</v>
      </c>
      <c r="AI523" s="412">
        <f t="shared" si="129"/>
        <v>0</v>
      </c>
      <c r="AJ523" s="411"/>
      <c r="AK523" s="410"/>
      <c r="AL523" s="383">
        <f>SUMIFS(BV_Data_An_Prec!$AN:$AN,BV_Data_An_Prec!$AQ:$AQ,$V523)</f>
        <v>0</v>
      </c>
      <c r="AM523" s="387"/>
      <c r="AN523" s="385">
        <f t="shared" si="122"/>
        <v>172753.84</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150778.04999999999</v>
      </c>
      <c r="AG524" s="400"/>
      <c r="AH524" s="401">
        <f t="shared" si="124"/>
        <v>150778.04999999999</v>
      </c>
      <c r="AI524" s="402">
        <f t="shared" si="129"/>
        <v>0</v>
      </c>
      <c r="AJ524" s="407"/>
      <c r="AK524" s="406"/>
      <c r="AL524" s="399">
        <f>SUMIFS(BV_Data_An_Prec!$AN:$AN,BV_Data_An_Prec!$AQ:$AQ,$V524)</f>
        <v>0</v>
      </c>
      <c r="AM524" s="403"/>
      <c r="AN524" s="401">
        <f t="shared" si="122"/>
        <v>150778.04999999999</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116661.43999999999</v>
      </c>
      <c r="AG525" s="400"/>
      <c r="AH525" s="401">
        <f t="shared" si="124"/>
        <v>116661.43999999999</v>
      </c>
      <c r="AI525" s="402">
        <f t="shared" si="129"/>
        <v>0</v>
      </c>
      <c r="AJ525" s="407"/>
      <c r="AK525" s="406"/>
      <c r="AL525" s="399">
        <f>SUMIFS(BV_Data_An_Prec!$AN:$AN,BV_Data_An_Prec!$AQ:$AQ,$V525)</f>
        <v>0</v>
      </c>
      <c r="AM525" s="403"/>
      <c r="AN525" s="401">
        <f t="shared" si="122"/>
        <v>116661.43999999999</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376598.81000000006</v>
      </c>
      <c r="AG526" s="400"/>
      <c r="AH526" s="401">
        <f t="shared" si="124"/>
        <v>376598.81000000006</v>
      </c>
      <c r="AI526" s="402">
        <f t="shared" si="129"/>
        <v>0</v>
      </c>
      <c r="AJ526" s="407"/>
      <c r="AK526" s="406"/>
      <c r="AL526" s="399">
        <f>SUMIFS(BV_Data_An_Prec!$AN:$AN,BV_Data_An_Prec!$AQ:$AQ,$V526)</f>
        <v>0</v>
      </c>
      <c r="AM526" s="403"/>
      <c r="AN526" s="401">
        <f t="shared" si="122"/>
        <v>376598.81000000006</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62755.170000000006</v>
      </c>
      <c r="AG528" s="400"/>
      <c r="AH528" s="401">
        <f t="shared" si="124"/>
        <v>62755.170000000006</v>
      </c>
      <c r="AI528" s="402">
        <f t="shared" si="129"/>
        <v>0</v>
      </c>
      <c r="AJ528" s="407"/>
      <c r="AK528" s="406"/>
      <c r="AL528" s="399">
        <f>SUMIFS(BV_Data_An_Prec!$AN:$AN,BV_Data_An_Prec!$AQ:$AQ,$V528)</f>
        <v>0</v>
      </c>
      <c r="AM528" s="403"/>
      <c r="AN528" s="401">
        <f t="shared" si="122"/>
        <v>62755.170000000006</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58580.63</v>
      </c>
      <c r="AG530" s="400"/>
      <c r="AH530" s="401">
        <f t="shared" si="124"/>
        <v>58580.63</v>
      </c>
      <c r="AI530" s="402">
        <f t="shared" si="129"/>
        <v>0</v>
      </c>
      <c r="AJ530" s="407"/>
      <c r="AK530" s="406"/>
      <c r="AL530" s="399">
        <f>SUMIFS(BV_Data_An_Prec!$AN:$AN,BV_Data_An_Prec!$AQ:$AQ,$V530)</f>
        <v>0</v>
      </c>
      <c r="AM530" s="403"/>
      <c r="AN530" s="401">
        <f t="shared" si="122"/>
        <v>58580.63</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34407.769999999997</v>
      </c>
      <c r="AG531" s="400"/>
      <c r="AH531" s="401">
        <f t="shared" si="124"/>
        <v>34407.769999999997</v>
      </c>
      <c r="AI531" s="420">
        <f t="shared" si="129"/>
        <v>0</v>
      </c>
      <c r="AJ531" s="407"/>
      <c r="AK531" s="406"/>
      <c r="AL531" s="399">
        <f>SUMIFS(BV_Data_An_Prec!$AN:$AN,BV_Data_An_Prec!$AQ:$AQ,$V531)</f>
        <v>0</v>
      </c>
      <c r="AM531" s="403"/>
      <c r="AN531" s="401">
        <f t="shared" si="122"/>
        <v>34407.769999999997</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47768.44</v>
      </c>
      <c r="AG532" s="400"/>
      <c r="AH532" s="401">
        <f t="shared" si="124"/>
        <v>47768.44</v>
      </c>
      <c r="AI532" s="402">
        <f t="shared" si="129"/>
        <v>0</v>
      </c>
      <c r="AJ532" s="407"/>
      <c r="AK532" s="406"/>
      <c r="AL532" s="399">
        <f>SUMIFS(BV_Data_An_Prec!$AN:$AN,BV_Data_An_Prec!$AQ:$AQ,$V532)</f>
        <v>0</v>
      </c>
      <c r="AM532" s="403"/>
      <c r="AN532" s="401">
        <f t="shared" si="122"/>
        <v>47768.44</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123493.84999999999</v>
      </c>
      <c r="AG533" s="400"/>
      <c r="AH533" s="401">
        <f t="shared" si="124"/>
        <v>123493.84999999999</v>
      </c>
      <c r="AI533" s="420">
        <f t="shared" si="129"/>
        <v>0</v>
      </c>
      <c r="AJ533" s="407"/>
      <c r="AK533" s="406"/>
      <c r="AL533" s="399">
        <f>SUMIFS(BV_Data_An_Prec!$AN:$AN,BV_Data_An_Prec!$AQ:$AQ,$V533)</f>
        <v>0</v>
      </c>
      <c r="AM533" s="403"/>
      <c r="AN533" s="401">
        <f t="shared" si="122"/>
        <v>123493.84999999999</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52422.42</v>
      </c>
      <c r="AG534" s="400"/>
      <c r="AH534" s="401">
        <f t="shared" si="124"/>
        <v>52422.42</v>
      </c>
      <c r="AI534" s="402">
        <f t="shared" si="129"/>
        <v>0</v>
      </c>
      <c r="AJ534" s="407"/>
      <c r="AK534" s="406"/>
      <c r="AL534" s="399">
        <f>SUMIFS(BV_Data_An_Prec!$AN:$AN,BV_Data_An_Prec!$AQ:$AQ,$V534)</f>
        <v>0</v>
      </c>
      <c r="AM534" s="403"/>
      <c r="AN534" s="401">
        <f t="shared" si="122"/>
        <v>52422.42</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22094.570000000003</v>
      </c>
      <c r="AG535" s="400"/>
      <c r="AH535" s="659">
        <f t="shared" si="124"/>
        <v>22094.570000000003</v>
      </c>
      <c r="AI535" s="402">
        <f t="shared" si="129"/>
        <v>0</v>
      </c>
      <c r="AJ535" s="407"/>
      <c r="AK535" s="406"/>
      <c r="AL535" s="399">
        <f>SUMIFS(BV_Data_An_Prec!$AN:$AN,BV_Data_An_Prec!$AQ:$AQ,$V535)</f>
        <v>0</v>
      </c>
      <c r="AM535" s="403"/>
      <c r="AN535" s="401">
        <f t="shared" si="122"/>
        <v>22094.570000000003</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3147</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0.12605902447350834</v>
      </c>
      <c r="AE539" s="414"/>
      <c r="AF539" s="416">
        <f>+SUM(AF521:AF538)</f>
        <v>1338043.96</v>
      </c>
      <c r="AG539" s="422"/>
      <c r="AH539" s="435">
        <f>+SUM(AH521:AH538)</f>
        <v>1338043.96</v>
      </c>
      <c r="AI539" s="415" t="e">
        <f>AH539/Z539</f>
        <v>#DIV/0!</v>
      </c>
      <c r="AJ539" s="417">
        <f>IF($AL$494=0,0,AL539/$AL$494)</f>
        <v>0</v>
      </c>
      <c r="AK539" s="414"/>
      <c r="AL539" s="416">
        <f>+SUM(AL521:AL538)</f>
        <v>0</v>
      </c>
      <c r="AM539" s="423"/>
      <c r="AN539" s="419">
        <f t="shared" si="122"/>
        <v>1338043.96</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1308278.54</v>
      </c>
      <c r="AG540" s="400"/>
      <c r="AH540" s="401">
        <f t="shared" ref="AH540:AH548" si="132">AF540-Z540</f>
        <v>1308278.54</v>
      </c>
      <c r="AI540" s="402">
        <f t="shared" ref="AI540:AI548" si="133">IF(Z540=0,0,AH540/Z540)</f>
        <v>0</v>
      </c>
      <c r="AJ540" s="407"/>
      <c r="AK540" s="406"/>
      <c r="AL540" s="399">
        <f>SUMIFS(BV_Data_An_Prec!$AN:$AN,BV_Data_An_Prec!$AQ:$AQ,$V540)</f>
        <v>0</v>
      </c>
      <c r="AM540" s="403"/>
      <c r="AN540" s="401">
        <f t="shared" si="122"/>
        <v>1308278.54</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96513.8</v>
      </c>
      <c r="AG541" s="400"/>
      <c r="AH541" s="401">
        <f t="shared" si="132"/>
        <v>96513.8</v>
      </c>
      <c r="AI541" s="402">
        <f t="shared" si="133"/>
        <v>0</v>
      </c>
      <c r="AJ541" s="407"/>
      <c r="AK541" s="406"/>
      <c r="AL541" s="399">
        <f>SUMIFS(BV_Data_An_Prec!$AN:$AN,BV_Data_An_Prec!$AQ:$AQ,$V541)</f>
        <v>0</v>
      </c>
      <c r="AM541" s="403"/>
      <c r="AN541" s="401">
        <f t="shared" si="122"/>
        <v>96513.8</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130008.52000000002</v>
      </c>
      <c r="AG542" s="384"/>
      <c r="AH542" s="385">
        <f t="shared" si="132"/>
        <v>130008.52000000002</v>
      </c>
      <c r="AI542" s="412">
        <f t="shared" si="133"/>
        <v>0</v>
      </c>
      <c r="AJ542" s="411"/>
      <c r="AK542" s="410"/>
      <c r="AL542" s="383">
        <f>SUMIFS(BV_Data_An_Prec!$AN:$AN,BV_Data_An_Prec!$AQ:$AQ,$V542)</f>
        <v>0</v>
      </c>
      <c r="AM542" s="387"/>
      <c r="AN542" s="385">
        <f t="shared" si="122"/>
        <v>130008.52000000002</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156883.32</v>
      </c>
      <c r="AG544" s="384"/>
      <c r="AH544" s="385">
        <f t="shared" si="132"/>
        <v>156883.32</v>
      </c>
      <c r="AI544" s="412">
        <f t="shared" si="133"/>
        <v>0</v>
      </c>
      <c r="AJ544" s="411"/>
      <c r="AK544" s="410"/>
      <c r="AL544" s="383">
        <f>SUMIFS(BV_Data_An_Prec!$AN:$AN,BV_Data_An_Prec!$AQ:$AQ,$V544)</f>
        <v>0</v>
      </c>
      <c r="AM544" s="387"/>
      <c r="AN544" s="385">
        <f t="shared" si="122"/>
        <v>156883.32</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123707.56</v>
      </c>
      <c r="AG545" s="400"/>
      <c r="AH545" s="401">
        <f t="shared" si="132"/>
        <v>123707.56</v>
      </c>
      <c r="AI545" s="402">
        <f t="shared" si="133"/>
        <v>0</v>
      </c>
      <c r="AJ545" s="407"/>
      <c r="AK545" s="406"/>
      <c r="AL545" s="399">
        <f>SUMIFS(BV_Data_An_Prec!$AN:$AN,BV_Data_An_Prec!$AQ:$AQ,$V545)</f>
        <v>0</v>
      </c>
      <c r="AM545" s="403"/>
      <c r="AN545" s="401">
        <f t="shared" si="122"/>
        <v>123707.56</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39103.230000000003</v>
      </c>
      <c r="AG546" s="400"/>
      <c r="AH546" s="401">
        <f t="shared" si="132"/>
        <v>39103.230000000003</v>
      </c>
      <c r="AI546" s="402">
        <f t="shared" si="133"/>
        <v>0</v>
      </c>
      <c r="AJ546" s="407"/>
      <c r="AK546" s="406"/>
      <c r="AL546" s="399">
        <f>SUMIFS(BV_Data_An_Prec!$AN:$AN,BV_Data_An_Prec!$AQ:$AQ,$V546)</f>
        <v>0</v>
      </c>
      <c r="AM546" s="403"/>
      <c r="AN546" s="401">
        <f t="shared" si="122"/>
        <v>39103.230000000003</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81599.990000000005</v>
      </c>
      <c r="AG547" s="384"/>
      <c r="AH547" s="385">
        <f t="shared" si="132"/>
        <v>81599.990000000005</v>
      </c>
      <c r="AI547" s="412">
        <f t="shared" si="133"/>
        <v>0</v>
      </c>
      <c r="AJ547" s="411"/>
      <c r="AK547" s="410"/>
      <c r="AL547" s="383">
        <f>SUMIFS(BV_Data_An_Prec!$AN:$AN,BV_Data_An_Prec!$AQ:$AQ,$V547)</f>
        <v>0</v>
      </c>
      <c r="AM547" s="387"/>
      <c r="AN547" s="385">
        <f t="shared" si="122"/>
        <v>81599.990000000005</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9147.69</v>
      </c>
      <c r="AG548" s="400"/>
      <c r="AH548" s="401">
        <f t="shared" si="132"/>
        <v>9147.69</v>
      </c>
      <c r="AI548" s="439">
        <f t="shared" si="133"/>
        <v>0</v>
      </c>
      <c r="AJ548" s="407"/>
      <c r="AK548" s="406"/>
      <c r="AL548" s="399">
        <f>SUMIFS(BV_Data_An_Prec!$AN:$AN,BV_Data_An_Prec!$AQ:$AQ,$V548)</f>
        <v>0</v>
      </c>
      <c r="AM548" s="403"/>
      <c r="AN548" s="401">
        <f t="shared" si="122"/>
        <v>9147.69</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0.18326407663262589</v>
      </c>
      <c r="AE553" s="414"/>
      <c r="AF553" s="416">
        <f>SUM(AF540:AF552)</f>
        <v>1945242.6500000001</v>
      </c>
      <c r="AG553" s="422"/>
      <c r="AH553" s="435">
        <f>SUM(AH540:AH552)</f>
        <v>1945242.6500000001</v>
      </c>
      <c r="AI553" s="415">
        <f>IF(Z553=0,0,AH553/Z553)</f>
        <v>0</v>
      </c>
      <c r="AJ553" s="417">
        <f>IF($AL$494=0,0,AL553/$AL$494)</f>
        <v>0</v>
      </c>
      <c r="AK553" s="414"/>
      <c r="AL553" s="416">
        <f>SUM(AL540:AL552)</f>
        <v>0</v>
      </c>
      <c r="AM553" s="423"/>
      <c r="AN553" s="419">
        <f t="shared" si="122"/>
        <v>1945242.6500000001</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0.66109767876056769</v>
      </c>
      <c r="AE555" s="414"/>
      <c r="AF555" s="416">
        <f>AF506+AF520+AF539+AF553</f>
        <v>7017171.2000000002</v>
      </c>
      <c r="AG555" s="422"/>
      <c r="AH555" s="435">
        <f t="shared" si="134"/>
        <v>7017171.2000000002</v>
      </c>
      <c r="AI555" s="415" t="e">
        <f>AH555/Z555</f>
        <v>#DIV/0!</v>
      </c>
      <c r="AJ555" s="417">
        <f>IF($AL$494=0,0,AL555/$AL$494)</f>
        <v>0</v>
      </c>
      <c r="AK555" s="414"/>
      <c r="AL555" s="416">
        <f>AL506+AL520+AL539+AL553</f>
        <v>0</v>
      </c>
      <c r="AM555" s="423"/>
      <c r="AN555" s="419">
        <f t="shared" ref="AN555:AN568" si="135">AF555-AL555</f>
        <v>7017171.2000000002</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1290309.6100000003</v>
      </c>
      <c r="AG556" s="446"/>
      <c r="AH556" s="401">
        <f t="shared" si="134"/>
        <v>1290309.6100000003</v>
      </c>
      <c r="AI556" s="439" t="e">
        <f>IF(AH556=0,0,AH556/Z556)</f>
        <v>#DIV/0!</v>
      </c>
      <c r="AJ556" s="445"/>
      <c r="AK556" s="444"/>
      <c r="AL556" s="426">
        <f>-SUMIFS(BV_Data_An_Prec!$AN:$AN,BV_Data_An_Prec!$AQ:$AQ,$V556)</f>
        <v>0</v>
      </c>
      <c r="AM556" s="447"/>
      <c r="AN556" s="401">
        <f t="shared" si="135"/>
        <v>1290309.6100000003</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3135</v>
      </c>
      <c r="W558" s="398"/>
      <c r="X558" s="398"/>
      <c r="Y558" s="398"/>
      <c r="Z558" s="399">
        <f t="shared" si="137"/>
        <v>0</v>
      </c>
      <c r="AA558" s="437"/>
      <c r="AB558" s="438"/>
      <c r="AC558" s="399"/>
      <c r="AD558" s="451"/>
      <c r="AF558" s="399">
        <f t="shared" si="138"/>
        <v>332501.82</v>
      </c>
      <c r="AG558" s="450"/>
      <c r="AH558" s="401">
        <f t="shared" si="134"/>
        <v>332501.82</v>
      </c>
      <c r="AI558" s="420" t="e">
        <f t="shared" ref="AI558:AI567" si="139">IF(AH558=0,0,AH558/Z558)</f>
        <v>#DIV/0!</v>
      </c>
      <c r="AJ558" s="451"/>
      <c r="AL558" s="399">
        <f>-SUMIFS(BV_Data_An_Prec!$AN:$AN,BV_Data_An_Prec!$AQ:$AQ,$V558)</f>
        <v>0</v>
      </c>
      <c r="AM558" s="448"/>
      <c r="AN558" s="401">
        <f t="shared" si="135"/>
        <v>332501.82</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0.15288737282612083</v>
      </c>
      <c r="AE568" s="434"/>
      <c r="AF568" s="416">
        <f>SUM(AF556:AF567)</f>
        <v>1622811.4300000004</v>
      </c>
      <c r="AG568" s="422"/>
      <c r="AH568" s="419">
        <f t="shared" si="134"/>
        <v>1622811.4300000004</v>
      </c>
      <c r="AI568" s="415" t="e">
        <f>AH568/Z568</f>
        <v>#DIV/0!</v>
      </c>
      <c r="AJ568" s="415"/>
      <c r="AK568" s="434"/>
      <c r="AL568" s="416">
        <f>SUM(AL556:AL567)</f>
        <v>0</v>
      </c>
      <c r="AM568" s="453"/>
      <c r="AN568" s="419">
        <f t="shared" si="135"/>
        <v>1622811.4300000004</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2.0103020005726082E-2</v>
      </c>
      <c r="AF570" s="468">
        <f>AF494-AF555+AF568</f>
        <v>5220064.4300000072</v>
      </c>
      <c r="AG570" s="470"/>
      <c r="AH570" s="470" t="e">
        <f>AF570-Z570</f>
        <v>#REF!</v>
      </c>
      <c r="AI570" s="471" t="e">
        <f>AH570/Z570</f>
        <v>#REF!</v>
      </c>
      <c r="AJ570" s="466" t="s">
        <v>215</v>
      </c>
      <c r="AK570" s="467">
        <f>IF($AL$493=0,0,AL570/$AL$493)</f>
        <v>0</v>
      </c>
      <c r="AL570" s="468">
        <f>AL494-AL555+AL568</f>
        <v>0</v>
      </c>
      <c r="AM570" s="472"/>
      <c r="AN570" s="469">
        <f>AF570-AL570</f>
        <v>5220064.4300000072</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Décembre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2.570192626264774E-2</v>
      </c>
      <c r="AF575" s="752">
        <f>AF576+AF502</f>
        <v>6673908.2500000075</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6673908.2500000075</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2.0103020005726082E-2</v>
      </c>
      <c r="AF576" s="468">
        <f>AF570</f>
        <v>5220064.4300000072</v>
      </c>
      <c r="AG576" s="469"/>
      <c r="AH576" s="470" t="e">
        <f>AF576-Z576</f>
        <v>#REF!</v>
      </c>
      <c r="AI576" s="471" t="e">
        <f>AH576/Z576</f>
        <v>#REF!</v>
      </c>
      <c r="AJ576" s="466" t="s">
        <v>215</v>
      </c>
      <c r="AK576" s="467">
        <f>IF($AL$493=0,0,AL576/$AL$493)</f>
        <v>0</v>
      </c>
      <c r="AL576" s="468">
        <f>AL570</f>
        <v>0</v>
      </c>
      <c r="AM576" s="474"/>
      <c r="AN576" s="475">
        <f t="shared" si="141"/>
        <v>5220064.4300000072</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1052"/>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1053"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164713.43000000002</v>
      </c>
      <c r="AG578" s="398"/>
      <c r="AH578" s="401">
        <f t="shared" ref="AH578:AH585" si="143">AF578-Z578</f>
        <v>164713.43000000002</v>
      </c>
      <c r="AI578" s="420">
        <f t="shared" ref="AI578:AI584" si="144">IF(Z578=0,0,AH578/Z578)</f>
        <v>0</v>
      </c>
      <c r="AJ578" s="398"/>
      <c r="AK578" s="406"/>
      <c r="AL578" s="399">
        <f>SUMIFS(BV_Data_An_Prec!$AN:$AN,BV_Data_An_Prec!$AQ:$AQ,$V578)</f>
        <v>0</v>
      </c>
      <c r="AM578" s="403"/>
      <c r="AN578" s="401">
        <f t="shared" si="141"/>
        <v>164713.43000000002</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1053"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1053"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1053"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
      </c>
      <c r="B582" s="3"/>
      <c r="C582" s="375"/>
      <c r="D582" s="35"/>
      <c r="E582" s="35"/>
      <c r="F582" s="91"/>
      <c r="G582" s="35"/>
      <c r="H582" s="35"/>
      <c r="I582" s="91"/>
      <c r="J582" s="35"/>
      <c r="K582" s="35"/>
      <c r="L582" s="35"/>
      <c r="M582" s="91"/>
      <c r="N582" s="35"/>
      <c r="O582" s="35"/>
      <c r="P582" s="35"/>
      <c r="Q582" s="91"/>
      <c r="R582" s="91"/>
      <c r="S582" s="91"/>
      <c r="T582" s="35"/>
      <c r="U582" s="35"/>
      <c r="V582" s="1053"/>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1053"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1.946869117264274E-2</v>
      </c>
      <c r="AF585" s="468">
        <f>AF576-AF578-AF579-AF580-AF584-AF583-AF581-AF582</f>
        <v>5055351.0000000075</v>
      </c>
      <c r="AG585" s="470"/>
      <c r="AH585" s="470" t="e">
        <f t="shared" si="143"/>
        <v>#REF!</v>
      </c>
      <c r="AI585" s="471" t="e">
        <f>AH585/Z585</f>
        <v>#REF!</v>
      </c>
      <c r="AJ585" s="466" t="s">
        <v>215</v>
      </c>
      <c r="AK585" s="467">
        <f>IF($AL$493=0,0,AL585/$AL$493)</f>
        <v>0</v>
      </c>
      <c r="AL585" s="468">
        <f>AL576-AL578-AL579-AL580-AL584-AL583-AL581-AL582</f>
        <v>0</v>
      </c>
      <c r="AM585" s="472"/>
      <c r="AN585" s="469">
        <f t="shared" si="141"/>
        <v>5055351.0000000075</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1082" t="s">
        <v>3159</v>
      </c>
      <c r="W587" s="1082"/>
      <c r="X587" s="1082"/>
      <c r="Y587" s="1082"/>
      <c r="Z587" s="1082"/>
      <c r="AA587" s="1082"/>
      <c r="AB587" s="1082"/>
      <c r="AC587" s="1082"/>
      <c r="AD587" s="1082"/>
      <c r="AE587" s="1083"/>
      <c r="AF587" s="399">
        <f>SUMIFS(BV_Data_An_Cour!$AN:$AN,BV_Data_An_Cour!$AQ:$AQ,$V587)</f>
        <v>1347297</v>
      </c>
      <c r="AG587" s="1082"/>
      <c r="AH587" s="1082"/>
      <c r="AI587" s="1082"/>
      <c r="AJ587" s="1082"/>
      <c r="AK587" s="1082"/>
      <c r="AL587" s="1082"/>
      <c r="AM587" s="1082"/>
      <c r="AN587" s="1082"/>
      <c r="AO587" s="1082"/>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thickBot="1">
      <c r="B588" s="3"/>
      <c r="C588" s="35"/>
      <c r="S588" s="91"/>
      <c r="V588" s="1082"/>
      <c r="W588" s="1082"/>
      <c r="X588" s="1082"/>
      <c r="Y588" s="1082"/>
      <c r="Z588" s="1082"/>
      <c r="AA588" s="1082"/>
      <c r="AB588" s="1082"/>
      <c r="AC588" s="1082"/>
      <c r="AD588" s="1082"/>
      <c r="AE588" s="1083"/>
      <c r="AF588" s="1084"/>
      <c r="AG588" s="1082"/>
      <c r="AH588" s="1082"/>
      <c r="AI588" s="1082"/>
      <c r="AJ588" s="1082"/>
      <c r="AK588" s="1082"/>
      <c r="AL588" s="1082"/>
      <c r="AM588" s="1082"/>
      <c r="AN588" s="1082"/>
      <c r="AO588" s="1082"/>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thickTop="1" thickBot="1">
      <c r="B589" s="3"/>
      <c r="C589" s="398"/>
      <c r="V589" s="1085" t="s">
        <v>3160</v>
      </c>
      <c r="W589" s="1086"/>
      <c r="X589" s="1087"/>
      <c r="Y589" s="1088"/>
      <c r="Z589" s="1089"/>
      <c r="AA589" s="1087"/>
      <c r="AB589" s="1088"/>
      <c r="AC589" s="1089"/>
      <c r="AD589" s="1087"/>
      <c r="AE589" s="1088"/>
      <c r="AF589" s="1090">
        <f>+AF585-AF587</f>
        <v>3708054.0000000075</v>
      </c>
      <c r="AG589" s="1091"/>
      <c r="AH589" s="1091"/>
      <c r="AI589" s="1092"/>
      <c r="AJ589" s="1093"/>
      <c r="AK589" s="1088"/>
      <c r="AL589" s="1090"/>
      <c r="AM589" s="1094"/>
      <c r="AN589" s="1090"/>
      <c r="AO589" s="109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thickTop="1">
      <c r="B590" s="3"/>
      <c r="C590" s="398"/>
      <c r="W590" s="35"/>
      <c r="X590" s="35"/>
      <c r="Y590" s="35"/>
      <c r="Z590" s="35"/>
      <c r="AA590" s="35"/>
      <c r="AB590" s="35"/>
      <c r="AC590" s="35"/>
      <c r="AD590" s="35"/>
      <c r="AE590" s="91"/>
      <c r="AF590" s="105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F593" s="709"/>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Décembre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80" t="s">
        <v>339</v>
      </c>
      <c r="E3" s="1081"/>
      <c r="F3" s="1081"/>
      <c r="G3" s="1079"/>
      <c r="H3" s="1078"/>
      <c r="I3" s="1081"/>
      <c r="J3" s="1081"/>
      <c r="K3" s="1079"/>
      <c r="L3" s="1078" t="s">
        <v>340</v>
      </c>
      <c r="M3" s="1081"/>
      <c r="N3" s="1081"/>
      <c r="O3" s="1079"/>
      <c r="P3" s="1078" t="s">
        <v>668</v>
      </c>
      <c r="Q3" s="1079"/>
      <c r="R3" s="1080" t="s">
        <v>341</v>
      </c>
      <c r="S3" s="1081"/>
      <c r="T3" s="1081"/>
      <c r="U3" s="1079"/>
      <c r="V3" s="1078" t="s">
        <v>670</v>
      </c>
      <c r="W3" s="1079"/>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3103</v>
      </c>
      <c r="D6" s="995"/>
      <c r="E6" s="995"/>
      <c r="F6" s="1035"/>
      <c r="G6" s="995"/>
      <c r="H6" s="996"/>
      <c r="I6" s="995"/>
      <c r="J6" s="995"/>
      <c r="K6" s="995"/>
      <c r="L6" s="996">
        <f>SUMIFS(BV_Data_An_Cour!$AW:$AW,BV_Data_An_Cour!$AO:$AO,$Y6)</f>
        <v>38</v>
      </c>
      <c r="M6" s="659">
        <f>-SUMIFS(BV_Data_An_Cour!$AM:$AM,BV_Data_An_Cour!$AO:$AO,$Y6)</f>
        <v>41501.959999999963</v>
      </c>
      <c r="N6" s="1038">
        <f>IFERROR(O6/M6,0)</f>
        <v>0.55033569498886314</v>
      </c>
      <c r="O6" s="997">
        <f>-SUMIFS(BV_Data_An_Cour!$AM:$AM,BV_Data_An_Cour!$AO:$AO,$Y6)-SUMIFS(BV_Data_An_Cour!$AM:$AM,BV_Data_An_Cour!$AO:$AO,$Z6)</f>
        <v>22840.00999999998</v>
      </c>
      <c r="P6" s="1039">
        <f>IFERROR((M6-E6)/E6,0)</f>
        <v>0</v>
      </c>
      <c r="Q6" s="997">
        <f>O6-G6</f>
        <v>22840.00999999998</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22840.00999999998</v>
      </c>
      <c r="X6" s="936"/>
      <c r="Y6" s="398" t="s">
        <v>2491</v>
      </c>
      <c r="Z6" s="398" t="s">
        <v>2883</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3104</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2487</v>
      </c>
      <c r="Z7" s="398" t="s">
        <v>2879</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3105</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2495</v>
      </c>
      <c r="Z8" s="398" t="s">
        <v>2887</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3106</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2517</v>
      </c>
      <c r="Z9" s="398" t="s">
        <v>2909</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3107</v>
      </c>
      <c r="D10" s="995"/>
      <c r="E10" s="995"/>
      <c r="F10" s="1035"/>
      <c r="G10" s="995"/>
      <c r="H10" s="996"/>
      <c r="I10" s="995"/>
      <c r="J10" s="995"/>
      <c r="K10" s="995"/>
      <c r="L10" s="996">
        <f>SUMIFS(BV_Data_An_Cour!$AW:$AW,BV_Data_An_Cour!$AO:$AO,$Y10)</f>
        <v>41</v>
      </c>
      <c r="M10" s="659">
        <f>-SUMIFS(BV_Data_An_Cour!$AM:$AM,BV_Data_An_Cour!$AO:$AO,$Y10)</f>
        <v>14988.549999999988</v>
      </c>
      <c r="N10" s="1038">
        <f t="shared" si="0"/>
        <v>-1.939956166540461</v>
      </c>
      <c r="O10" s="997">
        <f>-SUMIFS(BV_Data_An_Cour!$AM:$AM,BV_Data_An_Cour!$AO:$AO,$Y10)-SUMIFS(BV_Data_An_Cour!$AM:$AM,BV_Data_An_Cour!$AO:$AO,$Z10)</f>
        <v>-29077.130000000005</v>
      </c>
      <c r="P10" s="1039">
        <f t="shared" si="1"/>
        <v>0</v>
      </c>
      <c r="Q10" s="997">
        <f t="shared" si="2"/>
        <v>-29077.130000000005</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-29077.130000000005</v>
      </c>
      <c r="X10" s="936"/>
      <c r="Y10" s="398" t="s">
        <v>2535</v>
      </c>
      <c r="Z10" s="398" t="s">
        <v>2927</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3108</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2541</v>
      </c>
      <c r="Z11" s="398" t="s">
        <v>2933</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3109</v>
      </c>
      <c r="D12" s="1000"/>
      <c r="E12" s="1000"/>
      <c r="F12" s="1001"/>
      <c r="G12" s="1000"/>
      <c r="H12" s="1002"/>
      <c r="I12" s="1000"/>
      <c r="J12" s="1000"/>
      <c r="K12" s="1000"/>
      <c r="L12" s="1002">
        <f>SUMIFS(BV_Data_An_Cour!$AW:$AW,BV_Data_An_Cour!$AO:$AO,$Y12)</f>
        <v>38</v>
      </c>
      <c r="M12" s="659">
        <f>-SUMIFS(BV_Data_An_Cour!$AM:$AM,BV_Data_An_Cour!$AO:$AO,$Y12)</f>
        <v>81100.960000000079</v>
      </c>
      <c r="N12" s="1038">
        <f t="shared" si="0"/>
        <v>0.20793366687644607</v>
      </c>
      <c r="O12" s="997">
        <f>-SUMIFS(BV_Data_An_Cour!$AM:$AM,BV_Data_An_Cour!$AO:$AO,$Y12)-SUMIFS(BV_Data_An_Cour!$AM:$AM,BV_Data_An_Cour!$AO:$AO,$Z12)</f>
        <v>16863.619999999995</v>
      </c>
      <c r="P12" s="1003">
        <f t="shared" si="1"/>
        <v>0</v>
      </c>
      <c r="Q12" s="1004">
        <f t="shared" si="2"/>
        <v>16863.619999999995</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16863.619999999995</v>
      </c>
      <c r="X12" s="936"/>
      <c r="Y12" s="398" t="s">
        <v>2511</v>
      </c>
      <c r="Z12" s="398" t="s">
        <v>2903</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1173</v>
      </c>
      <c r="D13" s="1007"/>
      <c r="E13" s="1008">
        <f>SUM(E6:E12)</f>
        <v>0</v>
      </c>
      <c r="F13" s="1009" t="e">
        <f>G13/E13</f>
        <v>#DIV/0!</v>
      </c>
      <c r="G13" s="1008">
        <f>SUM(G6:G12)</f>
        <v>0</v>
      </c>
      <c r="H13" s="1010"/>
      <c r="I13" s="1008"/>
      <c r="J13" s="1008"/>
      <c r="K13" s="1008"/>
      <c r="L13" s="1011"/>
      <c r="M13" s="1008">
        <f>SUM(M6:M12)</f>
        <v>137591.47000000003</v>
      </c>
      <c r="N13" s="1009">
        <f t="shared" si="0"/>
        <v>7.7232258656731903E-2</v>
      </c>
      <c r="O13" s="1008">
        <f>SUM(O6:O12)</f>
        <v>10626.499999999971</v>
      </c>
      <c r="P13" s="1012">
        <f>IFERROR((M13-E13)/E13,0)</f>
        <v>0</v>
      </c>
      <c r="Q13" s="1013">
        <f>O13-G13</f>
        <v>10626.499999999971</v>
      </c>
      <c r="R13" s="1011"/>
      <c r="S13" s="1008">
        <f>SUM(S6:S12)</f>
        <v>0</v>
      </c>
      <c r="T13" s="1009">
        <f t="shared" ref="T13" si="6">IFERROR(U13/S13,0)</f>
        <v>0</v>
      </c>
      <c r="U13" s="1008">
        <f>SUM(U6:U12)</f>
        <v>0</v>
      </c>
      <c r="V13" s="1012">
        <f>IF(R13=0,0,L13/R13)</f>
        <v>0</v>
      </c>
      <c r="W13" s="1013">
        <f>O13-U13</f>
        <v>10626.499999999971</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3110</v>
      </c>
      <c r="D15" s="995"/>
      <c r="E15" s="995"/>
      <c r="F15" s="1035"/>
      <c r="G15" s="995"/>
      <c r="H15" s="996"/>
      <c r="I15" s="995"/>
      <c r="J15" s="995"/>
      <c r="K15" s="995"/>
      <c r="L15" s="996">
        <f>SUMIFS(BV_Data_An_Cour!$AW:$AW,BV_Data_An_Cour!$AO:$AO,$Y15)</f>
        <v>3</v>
      </c>
      <c r="M15" s="659">
        <f>-SUMIFS(BV_Data_An_Cour!$AM:$AM,BV_Data_An_Cour!$AO:$AO,$Y15)</f>
        <v>3975.6300000000047</v>
      </c>
      <c r="N15" s="1038">
        <f>IFERROR(O15/M15,0)</f>
        <v>-1.3208522925926174</v>
      </c>
      <c r="O15" s="997">
        <f>-SUMIFS(BV_Data_An_Cour!$AM:$AM,BV_Data_An_Cour!$AO:$AO,$Y15)-SUMIFS(BV_Data_An_Cour!$AM:$AM,BV_Data_An_Cour!$AO:$AO,$Z15)</f>
        <v>-5251.2199999999939</v>
      </c>
      <c r="P15" s="1039">
        <f t="shared" ref="P15:P21" si="7">IFERROR((M15-E15)/E15,0)</f>
        <v>0</v>
      </c>
      <c r="Q15" s="997">
        <f t="shared" ref="Q15:Q21" si="8">O15-G15</f>
        <v>-5251.2199999999939</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-5251.2199999999939</v>
      </c>
      <c r="X15" s="936"/>
      <c r="Y15" s="398" t="s">
        <v>2503</v>
      </c>
      <c r="Z15" s="398" t="s">
        <v>2895</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3111</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2505</v>
      </c>
      <c r="Z16" s="398" t="s">
        <v>2897</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3112</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2507</v>
      </c>
      <c r="Z17" s="398" t="s">
        <v>2899</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3113</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2519</v>
      </c>
      <c r="Z18" s="398" t="s">
        <v>2911</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3114</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2537</v>
      </c>
      <c r="Z19" s="398" t="s">
        <v>2929</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3115</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2543</v>
      </c>
      <c r="Z20" s="398" t="s">
        <v>2935</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3116</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2513</v>
      </c>
      <c r="Z21" s="398" t="s">
        <v>2905</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3138</v>
      </c>
      <c r="D22" s="1000"/>
      <c r="E22" s="1000"/>
      <c r="F22" s="1001"/>
      <c r="G22" s="1000"/>
      <c r="H22" s="1002"/>
      <c r="I22" s="1000"/>
      <c r="J22" s="1000"/>
      <c r="K22" s="1000"/>
      <c r="L22" s="1002">
        <f>SUMIFS(BV_Data_An_Cour!$AW:$AW,BV_Data_An_Cour!$AO:$AO,$Y22)</f>
        <v>2</v>
      </c>
      <c r="M22" s="659">
        <f>-SUMIFS(BV_Data_An_Cour!$AM:$AM,BV_Data_An_Cour!$AO:$AO,$Y22)</f>
        <v>1267.6500000000001</v>
      </c>
      <c r="N22" s="1038">
        <f t="shared" si="12"/>
        <v>0.7060387330887864</v>
      </c>
      <c r="O22" s="997">
        <f>-SUMIFS(BV_Data_An_Cour!$AM:$AM,BV_Data_An_Cour!$AO:$AO,$Y22)-SUMIFS(BV_Data_An_Cour!$AM:$AM,BV_Data_An_Cour!$AO:$AO,$Z22)</f>
        <v>895.0100000000001</v>
      </c>
      <c r="P22" s="1003">
        <f t="shared" ref="P22" si="13">IFERROR((M22-E22)/E22,0)</f>
        <v>0</v>
      </c>
      <c r="Q22" s="1004">
        <f t="shared" ref="Q22" si="14">O22-G22</f>
        <v>895.0100000000001</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895.0100000000001</v>
      </c>
      <c r="X22" s="936"/>
      <c r="Y22" s="398" t="s">
        <v>2501</v>
      </c>
      <c r="Z22" s="398" t="s">
        <v>2893</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1171</v>
      </c>
      <c r="D23" s="1007"/>
      <c r="E23" s="1008">
        <f>SUM(E15:E21)</f>
        <v>0</v>
      </c>
      <c r="F23" s="1009" t="e">
        <f>G23/E23</f>
        <v>#DIV/0!</v>
      </c>
      <c r="G23" s="1008">
        <f>SUM(G15:G21)</f>
        <v>0</v>
      </c>
      <c r="H23" s="1010"/>
      <c r="I23" s="1008"/>
      <c r="J23" s="1008"/>
      <c r="K23" s="1008"/>
      <c r="L23" s="1011"/>
      <c r="M23" s="1008">
        <f>SUM(M15:M22)</f>
        <v>5243.2800000000043</v>
      </c>
      <c r="N23" s="1009">
        <f t="shared" si="12"/>
        <v>-0.83081773241177093</v>
      </c>
      <c r="O23" s="1008">
        <f>SUM(O15:O22)</f>
        <v>-4356.2099999999937</v>
      </c>
      <c r="P23" s="1012">
        <f>IFERROR((M23-E23)/E23,0)</f>
        <v>0</v>
      </c>
      <c r="Q23" s="1013">
        <f>O23-G23</f>
        <v>-4356.2099999999937</v>
      </c>
      <c r="R23" s="1011"/>
      <c r="S23" s="1008">
        <f>SUM(S15:S22)</f>
        <v>0</v>
      </c>
      <c r="T23" s="1009">
        <f t="shared" ref="T23" si="17">IFERROR(U23/S23,0)</f>
        <v>0</v>
      </c>
      <c r="U23" s="1008">
        <f>SUM(U15:U22)</f>
        <v>0</v>
      </c>
      <c r="V23" s="1012">
        <f>IF(R23=0,0,L23/R23)</f>
        <v>0</v>
      </c>
      <c r="W23" s="1013">
        <f>SUM(W15:W22)</f>
        <v>-4356.2099999999937</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3117</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2493</v>
      </c>
      <c r="Z25" s="398" t="s">
        <v>2885</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3118</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2489</v>
      </c>
      <c r="Z26" s="398" t="s">
        <v>2881</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3119</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2497</v>
      </c>
      <c r="Z27" s="398" t="s">
        <v>2889</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3120</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2521</v>
      </c>
      <c r="Z28" s="398" t="s">
        <v>2913</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3121</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2539</v>
      </c>
      <c r="Z29" s="398" t="s">
        <v>2931</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3122</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2545</v>
      </c>
      <c r="Z30" s="398" t="s">
        <v>2937</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3123</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2515</v>
      </c>
      <c r="Z31" s="398" t="s">
        <v>2907</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3124</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2499</v>
      </c>
      <c r="Z32" s="398" t="s">
        <v>2891</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1172</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1174</v>
      </c>
      <c r="D35" s="1044"/>
      <c r="E35" s="1044"/>
      <c r="F35" s="1042"/>
      <c r="G35" s="1014"/>
      <c r="H35" s="994"/>
      <c r="I35" s="1044"/>
      <c r="J35" s="1044"/>
      <c r="K35" s="1014"/>
      <c r="L35" s="994"/>
      <c r="M35" s="659"/>
      <c r="N35" s="1044"/>
      <c r="O35" s="997">
        <f>-SUMIFS(BV_Data_An_Cour!$AM:$AM,BV_Data_An_Cour!$AO:$AO,$Z35)</f>
        <v>819.10000000000036</v>
      </c>
      <c r="P35" s="1015"/>
      <c r="Q35" s="1016"/>
      <c r="R35" s="994"/>
      <c r="S35" s="659"/>
      <c r="T35" s="1044"/>
      <c r="U35" s="997">
        <f>-SUMIFS(BV_Data_An_Prec!$AM:$AM,BV_Data_An_Prec!$AO:$AO,$Y35)-SUMIFS(BV_Data_An_Prec!$AM:$AM,BV_Data_An_Prec!$AO:$AO,$Z35)</f>
        <v>0</v>
      </c>
      <c r="V35" s="1015"/>
      <c r="W35" s="1017">
        <f t="shared" ref="W35" si="29">O35-U35</f>
        <v>819.10000000000036</v>
      </c>
      <c r="X35" s="402"/>
      <c r="Y35" s="398"/>
      <c r="Z35" s="398" t="s">
        <v>2901</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3102</v>
      </c>
      <c r="D37" s="1019"/>
      <c r="E37" s="1019">
        <f>E23+E33+E13</f>
        <v>0</v>
      </c>
      <c r="F37" s="1020" t="e">
        <f>G37/E37</f>
        <v>#DIV/0!</v>
      </c>
      <c r="G37" s="1045">
        <f>G23+G33+G13</f>
        <v>0</v>
      </c>
      <c r="H37" s="1021"/>
      <c r="I37" s="1019"/>
      <c r="J37" s="1019"/>
      <c r="K37" s="1045"/>
      <c r="L37" s="1021"/>
      <c r="M37" s="1019">
        <f>M23+M33+M13</f>
        <v>142834.75000000003</v>
      </c>
      <c r="N37" s="1020">
        <f>O37/M37</f>
        <v>4.9633510052700593E-2</v>
      </c>
      <c r="O37" s="1045">
        <f>O23+O33+O13+O35</f>
        <v>7089.3899999999776</v>
      </c>
      <c r="P37" s="1022">
        <f>O38-G38</f>
        <v>4.9633510052700593E-2</v>
      </c>
      <c r="Q37" s="1045">
        <f>O37-G37</f>
        <v>7089.3899999999776</v>
      </c>
      <c r="R37" s="1021"/>
      <c r="S37" s="1019">
        <f>S23+S33+S13</f>
        <v>0</v>
      </c>
      <c r="T37" s="1020">
        <f t="shared" ref="T37" si="30">IFERROR(U37/S37,0)</f>
        <v>0</v>
      </c>
      <c r="U37" s="1045">
        <f>U23+U33+U13+U35</f>
        <v>0</v>
      </c>
      <c r="V37" s="1023">
        <f>O38-U38</f>
        <v>4.9633510052700593E-2</v>
      </c>
      <c r="W37" s="1045">
        <f>O37-U37</f>
        <v>7089.3899999999776</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4.9633510052700593E-2</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4679.5899999999974</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Décembre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80" t="s">
        <v>339</v>
      </c>
      <c r="E3" s="1081"/>
      <c r="F3" s="1081"/>
      <c r="G3" s="1079"/>
      <c r="H3" s="1078"/>
      <c r="I3" s="1081"/>
      <c r="J3" s="1081"/>
      <c r="K3" s="1079"/>
      <c r="L3" s="1078" t="s">
        <v>340</v>
      </c>
      <c r="M3" s="1081"/>
      <c r="N3" s="1081"/>
      <c r="O3" s="1079"/>
      <c r="P3" s="1078" t="s">
        <v>668</v>
      </c>
      <c r="Q3" s="1079"/>
      <c r="R3" s="1080" t="s">
        <v>341</v>
      </c>
      <c r="S3" s="1081"/>
      <c r="T3" s="1081"/>
      <c r="U3" s="1079"/>
      <c r="V3" s="1078" t="s">
        <v>670</v>
      </c>
      <c r="W3" s="1079"/>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3103</v>
      </c>
      <c r="D6" s="995"/>
      <c r="E6" s="995"/>
      <c r="F6" s="1035"/>
      <c r="G6" s="995"/>
      <c r="H6" s="996"/>
      <c r="I6" s="995"/>
      <c r="J6" s="995"/>
      <c r="K6" s="995"/>
      <c r="L6" s="996">
        <f>SUMIFS(BV_Data_An_Cour!$AX:$AX,BV_Data_An_Cour!$AO:$AO,$Y6)</f>
        <v>469</v>
      </c>
      <c r="M6" s="659">
        <f>-SUMIFS(BV_Data_An_Cour!$AN:$AN,BV_Data_An_Cour!$AO:$AO,$Y6)</f>
        <v>574813.75</v>
      </c>
      <c r="N6" s="1038">
        <f>IFERROR(O6/M6,0)</f>
        <v>0.60368724652115568</v>
      </c>
      <c r="O6" s="997">
        <f>-SUMIFS(BV_Data_An_Cour!$AN:$AN,BV_Data_An_Cour!$AO:$AO,$Y6)-SUMIFS(BV_Data_An_Cour!$AN:$AN,BV_Data_An_Cour!$AO:$AO,$Z6)</f>
        <v>347007.73</v>
      </c>
      <c r="P6" s="1039">
        <f t="shared" ref="P6:P12" si="0">IFERROR((M6-E6)/E6,0)</f>
        <v>0</v>
      </c>
      <c r="Q6" s="997">
        <f t="shared" ref="Q6:Q12" si="1">O6-G6</f>
        <v>347007.73</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347007.73</v>
      </c>
      <c r="X6" s="936"/>
      <c r="Y6" s="398" t="s">
        <v>2491</v>
      </c>
      <c r="Z6" s="398" t="s">
        <v>2883</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3104</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2487</v>
      </c>
      <c r="Z7" s="398" t="s">
        <v>2879</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3105</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2495</v>
      </c>
      <c r="Z8" s="398" t="s">
        <v>2887</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3106</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2517</v>
      </c>
      <c r="Z9" s="398" t="s">
        <v>2909</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3107</v>
      </c>
      <c r="D10" s="995"/>
      <c r="E10" s="995"/>
      <c r="F10" s="1035"/>
      <c r="G10" s="995"/>
      <c r="H10" s="996"/>
      <c r="I10" s="995"/>
      <c r="J10" s="995"/>
      <c r="K10" s="995"/>
      <c r="L10" s="996">
        <f>SUMIFS(BV_Data_An_Cour!$AX:$AX,BV_Data_An_Cour!$AO:$AO,$Y10)</f>
        <v>485</v>
      </c>
      <c r="M10" s="659">
        <f>-SUMIFS(BV_Data_An_Cour!$AN:$AN,BV_Data_An_Cour!$AO:$AO,$Y10)</f>
        <v>223432.28</v>
      </c>
      <c r="N10" s="1038">
        <f t="shared" si="4"/>
        <v>0.49014229277882321</v>
      </c>
      <c r="O10" s="997">
        <f>-SUMIFS(BV_Data_An_Cour!$AN:$AN,BV_Data_An_Cour!$AO:$AO,$Y10)-SUMIFS(BV_Data_An_Cour!$AN:$AN,BV_Data_An_Cour!$AO:$AO,$Z10)</f>
        <v>109513.61</v>
      </c>
      <c r="P10" s="1039">
        <f t="shared" si="0"/>
        <v>0</v>
      </c>
      <c r="Q10" s="997">
        <f t="shared" si="1"/>
        <v>109513.61</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109513.61</v>
      </c>
      <c r="X10" s="936"/>
      <c r="Y10" s="398" t="s">
        <v>2535</v>
      </c>
      <c r="Z10" s="398" t="s">
        <v>2927</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3108</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2541</v>
      </c>
      <c r="Z11" s="398" t="s">
        <v>2933</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3109</v>
      </c>
      <c r="D12" s="1000"/>
      <c r="E12" s="1000"/>
      <c r="F12" s="1001"/>
      <c r="G12" s="1000"/>
      <c r="H12" s="1002"/>
      <c r="I12" s="1000"/>
      <c r="J12" s="1000"/>
      <c r="K12" s="1000"/>
      <c r="L12" s="1002">
        <f>SUMIFS(BV_Data_An_Cour!$AX:$AX,BV_Data_An_Cour!$AO:$AO,$Y12)</f>
        <v>442</v>
      </c>
      <c r="M12" s="659">
        <f>-SUMIFS(BV_Data_An_Cour!$AN:$AN,BV_Data_An_Cour!$AO:$AO,$Y12)</f>
        <v>1009999.8</v>
      </c>
      <c r="N12" s="1038">
        <f t="shared" si="4"/>
        <v>0.22906983743957174</v>
      </c>
      <c r="O12" s="997">
        <f>-SUMIFS(BV_Data_An_Cour!$AN:$AN,BV_Data_An_Cour!$AO:$AO,$Y12)-SUMIFS(BV_Data_An_Cour!$AN:$AN,BV_Data_An_Cour!$AO:$AO,$Z12)</f>
        <v>231360.49</v>
      </c>
      <c r="P12" s="1003">
        <f t="shared" si="0"/>
        <v>0</v>
      </c>
      <c r="Q12" s="1004">
        <f t="shared" si="1"/>
        <v>231360.49</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231360.49</v>
      </c>
      <c r="X12" s="936"/>
      <c r="Y12" s="398" t="s">
        <v>2511</v>
      </c>
      <c r="Z12" s="398" t="s">
        <v>2903</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1173</v>
      </c>
      <c r="D13" s="1007"/>
      <c r="E13" s="1008">
        <f>SUM(E6:E12)</f>
        <v>0</v>
      </c>
      <c r="F13" s="1009" t="e">
        <f>G13/E13</f>
        <v>#DIV/0!</v>
      </c>
      <c r="G13" s="1008">
        <f>SUM(G6:G12)</f>
        <v>0</v>
      </c>
      <c r="H13" s="1010"/>
      <c r="I13" s="1008"/>
      <c r="J13" s="1008"/>
      <c r="K13" s="1008"/>
      <c r="L13" s="1011"/>
      <c r="M13" s="1008">
        <f>SUM(M6:M12)</f>
        <v>1808245.83</v>
      </c>
      <c r="N13" s="1009">
        <f>O13/M13</f>
        <v>0.38041388985257601</v>
      </c>
      <c r="O13" s="1008">
        <f>SUM(O6:O12)</f>
        <v>687881.83</v>
      </c>
      <c r="P13" s="1012">
        <f>IFERROR((M13-E13)/E13,0)</f>
        <v>0</v>
      </c>
      <c r="Q13" s="1013">
        <f>O13-G13</f>
        <v>687881.83</v>
      </c>
      <c r="R13" s="1011"/>
      <c r="S13" s="1008">
        <f>SUM(S6:S12)</f>
        <v>0</v>
      </c>
      <c r="T13" s="1009" t="e">
        <f>U13/S13</f>
        <v>#DIV/0!</v>
      </c>
      <c r="U13" s="1008">
        <f>SUM(U6:U12)</f>
        <v>0</v>
      </c>
      <c r="V13" s="1012">
        <f>IF(R13=0,0,L13/R13)</f>
        <v>0</v>
      </c>
      <c r="W13" s="1013">
        <f>O13-U13</f>
        <v>687881.83</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3110</v>
      </c>
      <c r="D15" s="995"/>
      <c r="E15" s="995"/>
      <c r="F15" s="1035"/>
      <c r="G15" s="995"/>
      <c r="H15" s="996"/>
      <c r="I15" s="995"/>
      <c r="J15" s="995"/>
      <c r="K15" s="995"/>
      <c r="L15" s="996">
        <f>SUMIFS(BV_Data_An_Cour!$AX:$AX,BV_Data_An_Cour!$AO:$AO,$Y15)</f>
        <v>92</v>
      </c>
      <c r="M15" s="659">
        <f>-SUMIFS(BV_Data_An_Cour!$AN:$AN,BV_Data_An_Cour!$AO:$AO,$Y15)</f>
        <v>57859.83</v>
      </c>
      <c r="N15" s="1038">
        <f>IFERROR(O15/M15,0)</f>
        <v>0.56349007593005374</v>
      </c>
      <c r="O15" s="997">
        <f>-SUMIFS(BV_Data_An_Cour!$AN:$AN,BV_Data_An_Cour!$AO:$AO,$Y15)-SUMIFS(BV_Data_An_Cour!$AN:$AN,BV_Data_An_Cour!$AO:$AO,$Z15)</f>
        <v>32603.440000000002</v>
      </c>
      <c r="P15" s="1039">
        <f t="shared" ref="P15:P22" si="6">IFERROR((M15-E15)/E15,0)</f>
        <v>0</v>
      </c>
      <c r="Q15" s="997">
        <f t="shared" ref="Q15:Q22" si="7">O15-G15</f>
        <v>32603.440000000002</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32603.440000000002</v>
      </c>
      <c r="X15" s="936"/>
      <c r="Y15" s="398" t="s">
        <v>2503</v>
      </c>
      <c r="Z15" s="398" t="s">
        <v>2895</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3111</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2505</v>
      </c>
      <c r="Z16" s="398" t="s">
        <v>2897</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3112</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2507</v>
      </c>
      <c r="Z17" s="398" t="s">
        <v>2899</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3113</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2519</v>
      </c>
      <c r="Z18" s="398" t="s">
        <v>2911</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3114</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2537</v>
      </c>
      <c r="Z19" s="398" t="s">
        <v>2929</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3115</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2543</v>
      </c>
      <c r="Z20" s="398" t="s">
        <v>2935</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3116</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2513</v>
      </c>
      <c r="Z21" s="398" t="s">
        <v>2905</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3138</v>
      </c>
      <c r="D22" s="1000"/>
      <c r="E22" s="1000"/>
      <c r="F22" s="1001"/>
      <c r="G22" s="1000"/>
      <c r="H22" s="1002"/>
      <c r="I22" s="1000"/>
      <c r="J22" s="1000"/>
      <c r="K22" s="1000"/>
      <c r="L22" s="1002">
        <f>SUMIFS(BV_Data_An_Cour!$AX:$AX,BV_Data_An_Cour!$AO:$AO,$Y22)</f>
        <v>4</v>
      </c>
      <c r="M22" s="659">
        <f>-SUMIFS(BV_Data_An_Cour!$AN:$AN,BV_Data_An_Cour!$AO:$AO,$Y22)</f>
        <v>1808.45</v>
      </c>
      <c r="N22" s="1038">
        <f t="shared" si="10"/>
        <v>0.65321131355580753</v>
      </c>
      <c r="O22" s="997">
        <f>-SUMIFS(BV_Data_An_Cour!$AN:$AN,BV_Data_An_Cour!$AO:$AO,$Y22)-SUMIFS(BV_Data_An_Cour!$AN:$AN,BV_Data_An_Cour!$AO:$AO,$Z22)</f>
        <v>1181.3000000000002</v>
      </c>
      <c r="P22" s="1003">
        <f t="shared" si="6"/>
        <v>0</v>
      </c>
      <c r="Q22" s="1004">
        <f t="shared" si="7"/>
        <v>1181.3000000000002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1181.3000000000002</v>
      </c>
      <c r="X22" s="936"/>
      <c r="Y22" s="398" t="s">
        <v>2501</v>
      </c>
      <c r="Z22" s="398" t="s">
        <v>2893</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1171</v>
      </c>
      <c r="D23" s="1007"/>
      <c r="E23" s="1008">
        <f>SUM(E15:E21)</f>
        <v>0</v>
      </c>
      <c r="F23" s="1009" t="e">
        <f>G23/E23</f>
        <v>#DIV/0!</v>
      </c>
      <c r="G23" s="1008">
        <f>SUM(G15:G21)</f>
        <v>0</v>
      </c>
      <c r="H23" s="1010"/>
      <c r="I23" s="1008"/>
      <c r="J23" s="1008"/>
      <c r="K23" s="1008"/>
      <c r="L23" s="1011"/>
      <c r="M23" s="1008">
        <f>SUM(M15:M22)</f>
        <v>59668.28</v>
      </c>
      <c r="N23" s="1009">
        <f>O23/M23</f>
        <v>0.56620938294182444</v>
      </c>
      <c r="O23" s="1008">
        <f>SUM(O15:O22)</f>
        <v>33784.740000000005</v>
      </c>
      <c r="P23" s="1012">
        <f>IFERROR((M23-E23)/E23,0)</f>
        <v>0</v>
      </c>
      <c r="Q23" s="1013">
        <f>O23-G23</f>
        <v>33784.740000000005</v>
      </c>
      <c r="R23" s="1011"/>
      <c r="S23" s="1008">
        <f>SUM(S15:S22)</f>
        <v>0</v>
      </c>
      <c r="T23" s="1009" t="e">
        <f>U23/S23</f>
        <v>#DIV/0!</v>
      </c>
      <c r="U23" s="1008">
        <f>SUM(U15:U22)</f>
        <v>0</v>
      </c>
      <c r="V23" s="1012">
        <f>IF(R23=0,0,L23/R23)</f>
        <v>0</v>
      </c>
      <c r="W23" s="1013">
        <f>O23-U23</f>
        <v>33784.740000000005</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3117</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2493</v>
      </c>
      <c r="Z25" s="398" t="s">
        <v>2885</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3118</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2489</v>
      </c>
      <c r="Z26" s="398" t="s">
        <v>2881</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3119</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2497</v>
      </c>
      <c r="Z27" s="398" t="s">
        <v>2889</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3120</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2521</v>
      </c>
      <c r="Z28" s="398" t="s">
        <v>2913</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3121</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2539</v>
      </c>
      <c r="Z29" s="398" t="s">
        <v>2931</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3122</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2545</v>
      </c>
      <c r="Z30" s="398" t="s">
        <v>2937</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3123</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2515</v>
      </c>
      <c r="Z31" s="398" t="s">
        <v>2907</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3124</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2499</v>
      </c>
      <c r="Z32" s="398" t="s">
        <v>2891</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1172</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1174</v>
      </c>
      <c r="D35" s="1044"/>
      <c r="E35" s="1044"/>
      <c r="F35" s="1042"/>
      <c r="G35" s="1014"/>
      <c r="H35" s="994"/>
      <c r="I35" s="1044"/>
      <c r="J35" s="1044"/>
      <c r="K35" s="1014"/>
      <c r="L35" s="994"/>
      <c r="M35" s="659"/>
      <c r="N35" s="1044"/>
      <c r="O35" s="997">
        <f>-SUMIFS(BV_Data_An_Cour!$AN:$AN,BV_Data_An_Cour!$AO:$AO,$Y35)-SUMIFS(BV_Data_An_Cour!$AN:$AN,BV_Data_An_Cour!$AO:$AO,$Z35)</f>
        <v>10741.94</v>
      </c>
      <c r="P35" s="1015"/>
      <c r="Q35" s="1016"/>
      <c r="R35" s="994"/>
      <c r="S35" s="659"/>
      <c r="T35" s="1044"/>
      <c r="U35" s="997">
        <f>-SUMIFS(BV_Data_An_Prec!$AN:$AN,BV_Data_An_Prec!$AO:$AO,$Y35)-SUMIFS(BV_Data_An_Prec!$AN:$AN,BV_Data_An_Prec!$AO:$AO,$Z35)</f>
        <v>0</v>
      </c>
      <c r="V35" s="1015"/>
      <c r="W35" s="1017">
        <f t="shared" ref="W35" si="18">O35-U35</f>
        <v>10741.94</v>
      </c>
      <c r="X35" s="402"/>
      <c r="Y35" s="398"/>
      <c r="Z35" s="398" t="s">
        <v>2901</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3102</v>
      </c>
      <c r="D37" s="1019"/>
      <c r="E37" s="1019">
        <f>E23+E33+E13</f>
        <v>0</v>
      </c>
      <c r="F37" s="1020" t="e">
        <f>G37/E37</f>
        <v>#DIV/0!</v>
      </c>
      <c r="G37" s="1045">
        <f>G23+G33+G13</f>
        <v>0</v>
      </c>
      <c r="H37" s="1021"/>
      <c r="I37" s="1019"/>
      <c r="J37" s="1019"/>
      <c r="K37" s="1045"/>
      <c r="L37" s="1021"/>
      <c r="M37" s="1019">
        <f>M23+M33+M13</f>
        <v>1867914.11</v>
      </c>
      <c r="N37" s="1020">
        <f>O37/M37</f>
        <v>0.3920996720775346</v>
      </c>
      <c r="O37" s="1045">
        <f>O23+O33+O13+O35</f>
        <v>732408.50999999989</v>
      </c>
      <c r="P37" s="1022">
        <f>O38-G38</f>
        <v>0.3920996720775346</v>
      </c>
      <c r="Q37" s="1045">
        <f>O37-G37</f>
        <v>732408.50999999989</v>
      </c>
      <c r="R37" s="1021"/>
      <c r="S37" s="1019">
        <f>S23+S33+S13</f>
        <v>0</v>
      </c>
      <c r="T37" s="1020" t="e">
        <f>U37/S37</f>
        <v>#DIV/0!</v>
      </c>
      <c r="U37" s="1045">
        <f>U23+U33+U13+U35</f>
        <v>0</v>
      </c>
      <c r="V37" s="1023">
        <f>O38-U38</f>
        <v>0.3920996720775346</v>
      </c>
      <c r="W37" s="1045">
        <f>O37-U37</f>
        <v>732408.50999999989</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0.3920996720775346</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52075.09999999986</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I1" zoomScale="80" zoomScaleNormal="80" workbookViewId="0">
      <selection activeCell="A2" sqref="A2:AI905"/>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1159</v>
      </c>
      <c r="O1" t="s">
        <v>17</v>
      </c>
      <c r="P1" t="s">
        <v>18</v>
      </c>
      <c r="Q1" t="s">
        <v>19</v>
      </c>
      <c r="R1" t="s">
        <v>5</v>
      </c>
      <c r="S1"/>
      <c r="T1"/>
      <c r="U1"/>
      <c r="V1" t="s">
        <v>6</v>
      </c>
      <c r="W1" t="s">
        <v>8</v>
      </c>
      <c r="X1" t="s">
        <v>9</v>
      </c>
      <c r="Y1" t="s">
        <v>10</v>
      </c>
      <c r="Z1" t="s">
        <v>11</v>
      </c>
      <c r="AA1" t="s">
        <v>12</v>
      </c>
      <c r="AB1" t="s">
        <v>14</v>
      </c>
      <c r="AC1" t="s">
        <v>1159</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3158</v>
      </c>
      <c r="S2" s="706" t="s">
        <v>1117</v>
      </c>
      <c r="T2" s="706" t="s">
        <v>1118</v>
      </c>
      <c r="U2" s="706" t="s">
        <v>1119</v>
      </c>
      <c r="V2" s="706" t="s">
        <v>1120</v>
      </c>
      <c r="W2" s="706" t="s">
        <v>1121</v>
      </c>
      <c r="X2" s="706" t="s">
        <v>1122</v>
      </c>
      <c r="Y2" s="706" t="s">
        <v>1123</v>
      </c>
      <c r="Z2" s="706" t="s">
        <v>1124</v>
      </c>
      <c r="AA2" s="706" t="s">
        <v>1125</v>
      </c>
      <c r="AB2" s="706" t="s">
        <v>1126</v>
      </c>
      <c r="AC2" s="706" t="s">
        <v>1127</v>
      </c>
      <c r="AD2" s="706" t="s">
        <v>1128</v>
      </c>
      <c r="AE2" s="706" t="s">
        <v>1129</v>
      </c>
      <c r="AF2" s="706" t="s">
        <v>1130</v>
      </c>
      <c r="AG2" s="706" t="s">
        <v>1131</v>
      </c>
      <c r="AH2" s="706" t="s">
        <v>1132</v>
      </c>
      <c r="AI2" s="706" t="s">
        <v>1133</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1147</v>
      </c>
      <c r="B3" s="706">
        <v>2025</v>
      </c>
      <c r="C3" s="706" t="s">
        <v>1176</v>
      </c>
      <c r="D3" s="706" t="s">
        <v>1177</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611209.97</v>
      </c>
      <c r="AM3" s="905">
        <f>AN3-AL3</f>
        <v>40586.540000000037</v>
      </c>
      <c r="AN3" s="905">
        <f>INDEX(G3:R3,1,MATCH(Parametres!$B$3,G$1:R$1,0))*IF(OR(F3="L",F3="S",F3="I"),-1,1)</f>
        <v>651796.51</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1147</v>
      </c>
      <c r="B4" s="706">
        <v>2025</v>
      </c>
      <c r="C4" s="706" t="s">
        <v>1178</v>
      </c>
      <c r="D4" s="706" t="s">
        <v>1179</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63798.21</v>
      </c>
      <c r="AM4" s="905">
        <f t="shared" ref="AM4:AM67" si="2">AN4-AL4</f>
        <v>8616.2900000000009</v>
      </c>
      <c r="AN4" s="905">
        <f>INDEX(G4:R4,1,MATCH(Parametres!$B$3,G$1:R$1,0))*IF(OR(F4="L",F4="S",F4="I"),-1,1)</f>
        <v>72414.5</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1147</v>
      </c>
      <c r="B5" s="706">
        <v>2025</v>
      </c>
      <c r="C5" s="706" t="s">
        <v>1180</v>
      </c>
      <c r="D5" s="706" t="s">
        <v>1181</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56.88</v>
      </c>
      <c r="AM5" s="905">
        <f t="shared" si="2"/>
        <v>0</v>
      </c>
      <c r="AN5" s="905">
        <f>INDEX(G5:R5,1,MATCH(Parametres!$B$3,G$1:R$1,0))*IF(OR(F5="L",F5="S",F5="I"),-1,1)</f>
        <v>56.88</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1147</v>
      </c>
      <c r="B6" s="706">
        <v>2025</v>
      </c>
      <c r="C6" s="706" t="s">
        <v>1182</v>
      </c>
      <c r="D6" s="706" t="s">
        <v>1183</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-45295.61</v>
      </c>
      <c r="AM6" s="905">
        <f t="shared" si="2"/>
        <v>-12291.39</v>
      </c>
      <c r="AN6" s="905">
        <f>INDEX(G6:R6,1,MATCH(Parametres!$B$3,G$1:R$1,0))*IF(OR(F6="L",F6="S",F6="I"),-1,1)</f>
        <v>-57587</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1147</v>
      </c>
      <c r="B7" s="706">
        <v>2025</v>
      </c>
      <c r="C7" s="706" t="s">
        <v>1184</v>
      </c>
      <c r="D7" s="706" t="s">
        <v>1185</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-23647.119999999999</v>
      </c>
      <c r="AM7" s="905">
        <f t="shared" si="2"/>
        <v>6742.5099999999984</v>
      </c>
      <c r="AN7" s="905">
        <f>INDEX(G7:R7,1,MATCH(Parametres!$B$3,G$1:R$1,0))*IF(OR(F7="L",F7="S",F7="I"),-1,1)</f>
        <v>-16904.61</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1147</v>
      </c>
      <c r="B8" s="706">
        <v>2025</v>
      </c>
      <c r="C8" s="706" t="s">
        <v>1186</v>
      </c>
      <c r="D8" s="706" t="s">
        <v>1181</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10646.31</v>
      </c>
      <c r="AM8" s="905">
        <f t="shared" si="2"/>
        <v>10822.590000000002</v>
      </c>
      <c r="AN8" s="905">
        <f>INDEX(G8:R8,1,MATCH(Parametres!$B$3,G$1:R$1,0))*IF(OR(F8="L",F8="S",F8="I"),-1,1)</f>
        <v>21468.9</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1147</v>
      </c>
      <c r="B9" s="706">
        <v>2025</v>
      </c>
      <c r="C9" s="706" t="s">
        <v>1187</v>
      </c>
      <c r="D9" s="706" t="s">
        <v>1188</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6692.95</v>
      </c>
      <c r="AM9" s="905">
        <f t="shared" si="2"/>
        <v>0</v>
      </c>
      <c r="AN9" s="905">
        <f>INDEX(G9:R9,1,MATCH(Parametres!$B$3,G$1:R$1,0))*IF(OR(F9="L",F9="S",F9="I"),-1,1)</f>
        <v>6692.95</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1147</v>
      </c>
      <c r="B10" s="706">
        <v>2025</v>
      </c>
      <c r="C10" s="706" t="s">
        <v>1189</v>
      </c>
      <c r="D10" s="706" t="s">
        <v>1190</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2466.23</v>
      </c>
      <c r="AM10" s="905">
        <f t="shared" si="2"/>
        <v>2142.2599999999998</v>
      </c>
      <c r="AN10" s="905">
        <f>INDEX(G10:R10,1,MATCH(Parametres!$B$3,G$1:R$1,0))*IF(OR(F10="L",F10="S",F10="I"),-1,1)</f>
        <v>4608.49</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1147</v>
      </c>
      <c r="B11" s="706">
        <v>2025</v>
      </c>
      <c r="C11" s="706" t="s">
        <v>1191</v>
      </c>
      <c r="D11" s="706" t="s">
        <v>1192</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1147</v>
      </c>
      <c r="B12" s="706">
        <v>2025</v>
      </c>
      <c r="C12" s="706" t="s">
        <v>1193</v>
      </c>
      <c r="D12" s="706" t="s">
        <v>1194</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1147</v>
      </c>
      <c r="B13" s="706">
        <v>2025</v>
      </c>
      <c r="C13" s="706" t="s">
        <v>1195</v>
      </c>
      <c r="D13" s="706" t="s">
        <v>1196</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78815.48</v>
      </c>
      <c r="AM13" s="905">
        <f t="shared" si="2"/>
        <v>40120.180000000008</v>
      </c>
      <c r="AN13" s="905">
        <f>INDEX(G13:R13,1,MATCH(Parametres!$B$3,G$1:R$1,0))*IF(OR(F13="L",F13="S",F13="I"),-1,1)</f>
        <v>118935.66</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1147</v>
      </c>
      <c r="B14" s="706">
        <v>2025</v>
      </c>
      <c r="C14" s="706" t="s">
        <v>1197</v>
      </c>
      <c r="D14" s="706" t="s">
        <v>1198</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52543.67</v>
      </c>
      <c r="AM14" s="905">
        <f t="shared" si="2"/>
        <v>26746.78</v>
      </c>
      <c r="AN14" s="905">
        <f>INDEX(G14:R14,1,MATCH(Parametres!$B$3,G$1:R$1,0))*IF(OR(F14="L",F14="S",F14="I"),-1,1)</f>
        <v>79290.45</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1147</v>
      </c>
      <c r="B15" s="706">
        <v>2025</v>
      </c>
      <c r="C15" s="706" t="s">
        <v>1199</v>
      </c>
      <c r="D15" s="706" t="s">
        <v>1200</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78815.48</v>
      </c>
      <c r="AM15" s="905">
        <f t="shared" si="2"/>
        <v>40120.180000000008</v>
      </c>
      <c r="AN15" s="905">
        <f>INDEX(G15:R15,1,MATCH(Parametres!$B$3,G$1:R$1,0))*IF(OR(F15="L",F15="S",F15="I"),-1,1)</f>
        <v>118935.66</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1147</v>
      </c>
      <c r="B16" s="706">
        <v>2025</v>
      </c>
      <c r="C16" s="706" t="s">
        <v>1201</v>
      </c>
      <c r="D16" s="706" t="s">
        <v>1202</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26271.83</v>
      </c>
      <c r="AM16" s="905">
        <f t="shared" si="2"/>
        <v>13373.39</v>
      </c>
      <c r="AN16" s="905">
        <f>INDEX(G16:R16,1,MATCH(Parametres!$B$3,G$1:R$1,0))*IF(OR(F16="L",F16="S",F16="I"),-1,1)</f>
        <v>39645.22</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1147</v>
      </c>
      <c r="B17" s="706">
        <v>2025</v>
      </c>
      <c r="C17" s="706" t="s">
        <v>1203</v>
      </c>
      <c r="D17" s="706" t="s">
        <v>1204</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26271.81</v>
      </c>
      <c r="AM17" s="905">
        <f t="shared" si="2"/>
        <v>13373.389999999996</v>
      </c>
      <c r="AN17" s="905">
        <f>INDEX(G17:R17,1,MATCH(Parametres!$B$3,G$1:R$1,0))*IF(OR(F17="L",F17="S",F17="I"),-1,1)</f>
        <v>39645.199999999997</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1147</v>
      </c>
      <c r="B18" s="706">
        <v>2025</v>
      </c>
      <c r="C18" s="706" t="s">
        <v>1205</v>
      </c>
      <c r="D18" s="706" t="s">
        <v>1206</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1147</v>
      </c>
      <c r="B19" s="706">
        <v>2025</v>
      </c>
      <c r="C19" s="706" t="s">
        <v>1207</v>
      </c>
      <c r="D19" s="706" t="s">
        <v>1208</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150045.82</v>
      </c>
      <c r="AM19" s="905">
        <f t="shared" si="2"/>
        <v>19931.380000000005</v>
      </c>
      <c r="AN19" s="905">
        <f>INDEX(G19:R19,1,MATCH(Parametres!$B$3,G$1:R$1,0))*IF(OR(F19="L",F19="S",F19="I"),-1,1)</f>
        <v>169977.2</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1147</v>
      </c>
      <c r="B20" s="706">
        <v>2025</v>
      </c>
      <c r="C20" s="706" t="s">
        <v>1209</v>
      </c>
      <c r="D20" s="706" t="s">
        <v>1210</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140954.56</v>
      </c>
      <c r="AM20" s="905">
        <f t="shared" si="2"/>
        <v>7193.6700000000128</v>
      </c>
      <c r="AN20" s="905">
        <f>INDEX(G20:R20,1,MATCH(Parametres!$B$3,G$1:R$1,0))*IF(OR(F20="L",F20="S",F20="I"),-1,1)</f>
        <v>148148.23000000001</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1147</v>
      </c>
      <c r="B21" s="706">
        <v>2025</v>
      </c>
      <c r="C21" s="706" t="s">
        <v>1211</v>
      </c>
      <c r="D21" s="706" t="s">
        <v>1212</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332828.59000000003</v>
      </c>
      <c r="AM21" s="905">
        <f t="shared" si="2"/>
        <v>0</v>
      </c>
      <c r="AN21" s="905">
        <f>INDEX(G21:R21,1,MATCH(Parametres!$B$3,G$1:R$1,0))*IF(OR(F21="L",F21="S",F21="I"),-1,1)</f>
        <v>332828.59000000003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1147</v>
      </c>
      <c r="B22" s="706">
        <v>2025</v>
      </c>
      <c r="C22" s="706" t="s">
        <v>1213</v>
      </c>
      <c r="D22" s="706" t="s">
        <v>1214</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116235.41</v>
      </c>
      <c r="AM22" s="905">
        <f t="shared" si="2"/>
        <v>16687.419999999984</v>
      </c>
      <c r="AN22" s="905">
        <f>INDEX(G22:R22,1,MATCH(Parametres!$B$3,G$1:R$1,0))*IF(OR(F22="L",F22="S",F22="I"),-1,1)</f>
        <v>132922.82999999999</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1147</v>
      </c>
      <c r="B23" s="706">
        <v>2025</v>
      </c>
      <c r="C23" s="706" t="s">
        <v>1215</v>
      </c>
      <c r="D23" s="706" t="s">
        <v>1216</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124209.97</v>
      </c>
      <c r="AM23" s="905">
        <f t="shared" si="2"/>
        <v>12552.779999999999</v>
      </c>
      <c r="AN23" s="905">
        <f>INDEX(G23:R23,1,MATCH(Parametres!$B$3,G$1:R$1,0))*IF(OR(F23="L",F23="S",F23="I"),-1,1)</f>
        <v>136762.75</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1147</v>
      </c>
      <c r="B24" s="706">
        <v>2025</v>
      </c>
      <c r="C24" s="706" t="s">
        <v>1217</v>
      </c>
      <c r="D24" s="706" t="s">
        <v>1218</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11849.49</v>
      </c>
      <c r="AM24" s="905">
        <f t="shared" si="2"/>
        <v>2692.5699999999997</v>
      </c>
      <c r="AN24" s="905">
        <f>INDEX(G24:R24,1,MATCH(Parametres!$B$3,G$1:R$1,0))*IF(OR(F24="L",F24="S",F24="I"),-1,1)</f>
        <v>14542.06</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1147</v>
      </c>
      <c r="B25" s="706">
        <v>2025</v>
      </c>
      <c r="C25" s="706" t="s">
        <v>1221</v>
      </c>
      <c r="D25" s="706" t="s">
        <v>1222</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1147</v>
      </c>
      <c r="B26" s="706">
        <v>2025</v>
      </c>
      <c r="C26" s="706" t="s">
        <v>1223</v>
      </c>
      <c r="D26" s="706" t="s">
        <v>1224</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294302.75</v>
      </c>
      <c r="AM26" s="905">
        <f t="shared" si="2"/>
        <v>28728.450000000012</v>
      </c>
      <c r="AN26" s="905">
        <f>INDEX(G26:R26,1,MATCH(Parametres!$B$3,G$1:R$1,0))*IF(OR(F26="L",F26="S",F26="I"),-1,1)</f>
        <v>323031.2</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1147</v>
      </c>
      <c r="B27" s="706">
        <v>2025</v>
      </c>
      <c r="C27" s="706" t="s">
        <v>1225</v>
      </c>
      <c r="D27" s="706" t="s">
        <v>1226</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64241.33</v>
      </c>
      <c r="AM27" s="905">
        <f t="shared" si="2"/>
        <v>4262.679999999993</v>
      </c>
      <c r="AN27" s="905">
        <f>INDEX(G27:R27,1,MATCH(Parametres!$B$3,G$1:R$1,0))*IF(OR(F27="L",F27="S",F27="I"),-1,1)</f>
        <v>68504.009999999995</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1147</v>
      </c>
      <c r="B28" s="706">
        <v>2025</v>
      </c>
      <c r="C28" s="706" t="s">
        <v>1227</v>
      </c>
      <c r="D28" s="706" t="s">
        <v>1228</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129999.86</v>
      </c>
      <c r="AM28" s="905">
        <f t="shared" si="2"/>
        <v>-2414.75</v>
      </c>
      <c r="AN28" s="905">
        <f>INDEX(G28:R28,1,MATCH(Parametres!$B$3,G$1:R$1,0))*IF(OR(F28="L",F28="S",F28="I"),-1,1)</f>
        <v>127585.11</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1147</v>
      </c>
      <c r="B29" s="706">
        <v>2025</v>
      </c>
      <c r="C29" s="706" t="s">
        <v>1229</v>
      </c>
      <c r="D29" s="706" t="s">
        <v>1230</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293061.84000000003</v>
      </c>
      <c r="AM29" s="905">
        <f t="shared" si="2"/>
        <v>25077.409999999974</v>
      </c>
      <c r="AN29" s="905">
        <f>INDEX(G29:R29,1,MATCH(Parametres!$B$3,G$1:R$1,0))*IF(OR(F29="L",F29="S",F29="I"),-1,1)</f>
        <v>318139.25</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1147</v>
      </c>
      <c r="B30" s="706">
        <v>2025</v>
      </c>
      <c r="C30" s="706" t="s">
        <v>1231</v>
      </c>
      <c r="D30" s="706" t="s">
        <v>1232</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80128.5</v>
      </c>
      <c r="AM30" s="905">
        <f t="shared" si="2"/>
        <v>5894.6600000000035</v>
      </c>
      <c r="AN30" s="905">
        <f>INDEX(G30:R30,1,MATCH(Parametres!$B$3,G$1:R$1,0))*IF(OR(F30="L",F30="S",F30="I"),-1,1)</f>
        <v>86023.16</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1147</v>
      </c>
      <c r="B31" s="706">
        <v>2025</v>
      </c>
      <c r="C31" s="706" t="s">
        <v>1233</v>
      </c>
      <c r="D31" s="706" t="s">
        <v>1234</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29655.11</v>
      </c>
      <c r="AM31" s="905">
        <f t="shared" si="2"/>
        <v>2366.2599999999984</v>
      </c>
      <c r="AN31" s="905">
        <f>INDEX(G31:R31,1,MATCH(Parametres!$B$3,G$1:R$1,0))*IF(OR(F31="L",F31="S",F31="I"),-1,1)</f>
        <v>32021.37</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1147</v>
      </c>
      <c r="B32" s="706">
        <v>2025</v>
      </c>
      <c r="C32" s="706" t="s">
        <v>1237</v>
      </c>
      <c r="D32" s="706" t="s">
        <v>1238</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1147</v>
      </c>
      <c r="B33" s="706">
        <v>2025</v>
      </c>
      <c r="C33" s="706" t="s">
        <v>1239</v>
      </c>
      <c r="D33" s="706" t="s">
        <v>1240</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38672.53</v>
      </c>
      <c r="AM33" s="905">
        <f t="shared" si="2"/>
        <v>3322.9599999999991</v>
      </c>
      <c r="AN33" s="905">
        <f>INDEX(G33:R33,1,MATCH(Parametres!$B$3,G$1:R$1,0))*IF(OR(F33="L",F33="S",F33="I"),-1,1)</f>
        <v>41995.49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1147</v>
      </c>
      <c r="B34" s="706">
        <v>2025</v>
      </c>
      <c r="C34" s="706" t="s">
        <v>1241</v>
      </c>
      <c r="D34" s="706" t="s">
        <v>1242</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19449.78</v>
      </c>
      <c r="AM34" s="905">
        <f t="shared" si="2"/>
        <v>49241.66</v>
      </c>
      <c r="AN34" s="905">
        <f>INDEX(G34:R34,1,MATCH(Parametres!$B$3,G$1:R$1,0))*IF(OR(F34="L",F34="S",F34="I"),-1,1)</f>
        <v>68691.44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1147</v>
      </c>
      <c r="B35" s="706">
        <v>2025</v>
      </c>
      <c r="C35" s="706" t="s">
        <v>1243</v>
      </c>
      <c r="D35" s="706" t="s">
        <v>1244</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406362.32</v>
      </c>
      <c r="AM35" s="905">
        <f t="shared" si="2"/>
        <v>50000</v>
      </c>
      <c r="AN35" s="905">
        <f>INDEX(G35:R35,1,MATCH(Parametres!$B$3,G$1:R$1,0))*IF(OR(F35="L",F35="S",F35="I"),-1,1)</f>
        <v>456362.32</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1147</v>
      </c>
      <c r="B36" s="706">
        <v>2025</v>
      </c>
      <c r="C36" s="706" t="s">
        <v>1245</v>
      </c>
      <c r="D36" s="706" t="s">
        <v>1246</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278361.06</v>
      </c>
      <c r="AM36" s="905">
        <f t="shared" si="2"/>
        <v>15325.47000000003</v>
      </c>
      <c r="AN36" s="905">
        <f>INDEX(G36:R36,1,MATCH(Parametres!$B$3,G$1:R$1,0))*IF(OR(F36="L",F36="S",F36="I"),-1,1)</f>
        <v>293686.53000000003</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1147</v>
      </c>
      <c r="B37" s="706">
        <v>2025</v>
      </c>
      <c r="C37" s="706" t="s">
        <v>1247</v>
      </c>
      <c r="D37" s="706" t="s">
        <v>1248</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76</v>
      </c>
      <c r="AM37" s="905">
        <f t="shared" si="2"/>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1147</v>
      </c>
      <c r="B38" s="706">
        <v>2025</v>
      </c>
      <c r="C38" s="706" t="s">
        <v>1249</v>
      </c>
      <c r="D38" s="706" t="s">
        <v>1250</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194819.76</v>
      </c>
      <c r="AM38" s="905">
        <f t="shared" si="2"/>
        <v>19204.729999999981</v>
      </c>
      <c r="AN38" s="905">
        <f>INDEX(G38:R38,1,MATCH(Parametres!$B$3,G$1:R$1,0))*IF(OR(F38="L",F38="S",F38="I"),-1,1)</f>
        <v>214024.49</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1147</v>
      </c>
      <c r="B39" s="706">
        <v>2025</v>
      </c>
      <c r="C39" s="706" t="s">
        <v>1253</v>
      </c>
      <c r="D39" s="706" t="s">
        <v>1254</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1147</v>
      </c>
      <c r="B40" s="706">
        <v>2025</v>
      </c>
      <c r="C40" s="706" t="s">
        <v>1255</v>
      </c>
      <c r="D40" s="706" t="s">
        <v>1256</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132603.98000000001</v>
      </c>
      <c r="S40" s="706">
        <v>11903.7</v>
      </c>
      <c r="T40" s="706">
        <v>11903.7</v>
      </c>
      <c r="U40" s="706">
        <v>-18290.400000000001</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130940.75</v>
      </c>
      <c r="AM40" s="905">
        <f t="shared" si="2"/>
        <v>1663.2300000000105</v>
      </c>
      <c r="AN40" s="905">
        <f>INDEX(G40:R40,1,MATCH(Parametres!$B$3,G$1:R$1,0))*IF(OR(F40="L",F40="S",F40="I"),-1,1)</f>
        <v>132603.98000000001</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1147</v>
      </c>
      <c r="B41" s="706">
        <v>2025</v>
      </c>
      <c r="C41" s="706" t="s">
        <v>1257</v>
      </c>
      <c r="D41" s="706" t="s">
        <v>1258</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4253.3199999999979</v>
      </c>
      <c r="S41" s="706">
        <v>1111.4100000000001</v>
      </c>
      <c r="T41" s="706">
        <v>1111.4100000000001</v>
      </c>
      <c r="U41" s="706">
        <v>-12193.6</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12225.49</v>
      </c>
      <c r="AM41" s="905">
        <f t="shared" si="2"/>
        <v>-7972.1700000000019</v>
      </c>
      <c r="AN41" s="905">
        <f>INDEX(G41:R41,1,MATCH(Parametres!$B$3,G$1:R$1,0))*IF(OR(F41="L",F41="S",F41="I"),-1,1)</f>
        <v>4253.3199999999979</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1147</v>
      </c>
      <c r="B42" s="706">
        <v>2025</v>
      </c>
      <c r="C42" s="706" t="s">
        <v>1259</v>
      </c>
      <c r="D42" s="706" t="s">
        <v>1260</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27830.82</v>
      </c>
      <c r="AM42" s="905">
        <f t="shared" si="2"/>
        <v>3236.5699999999997</v>
      </c>
      <c r="AN42" s="905">
        <f>INDEX(G42:R42,1,MATCH(Parametres!$B$3,G$1:R$1,0))*IF(OR(F42="L",F42="S",F42="I"),-1,1)</f>
        <v>31067.39</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1147</v>
      </c>
      <c r="B43" s="706">
        <v>2025</v>
      </c>
      <c r="C43" s="706" t="s">
        <v>1261</v>
      </c>
      <c r="D43" s="706" t="s">
        <v>1262</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204086.88</v>
      </c>
      <c r="S43" s="706">
        <v>15362.94</v>
      </c>
      <c r="T43" s="706">
        <v>15362.94</v>
      </c>
      <c r="U43" s="706">
        <v>-18290.400000000001</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168992.33</v>
      </c>
      <c r="AM43" s="905">
        <f t="shared" si="2"/>
        <v>35094.550000000017</v>
      </c>
      <c r="AN43" s="905">
        <f>INDEX(G43:R43,1,MATCH(Parametres!$B$3,G$1:R$1,0))*IF(OR(F43="L",F43="S",F43="I"),-1,1)</f>
        <v>204086.88</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1147</v>
      </c>
      <c r="B44" s="706">
        <v>2025</v>
      </c>
      <c r="C44" s="706" t="s">
        <v>1263</v>
      </c>
      <c r="D44" s="706" t="s">
        <v>1264</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45397.21</v>
      </c>
      <c r="S44" s="706">
        <v>3440.91</v>
      </c>
      <c r="T44" s="706">
        <v>3440.91</v>
      </c>
      <c r="U44" s="706">
        <v>-6096.8</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37850.019999999997</v>
      </c>
      <c r="AM44" s="905">
        <f t="shared" si="2"/>
        <v>7547.1900000000023</v>
      </c>
      <c r="AN44" s="905">
        <f>INDEX(G44:R44,1,MATCH(Parametres!$B$3,G$1:R$1,0))*IF(OR(F44="L",F44="S",F44="I"),-1,1)</f>
        <v>45397.21</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1147</v>
      </c>
      <c r="B45" s="706">
        <v>2025</v>
      </c>
      <c r="C45" s="706" t="s">
        <v>1265</v>
      </c>
      <c r="D45" s="706" t="s">
        <v>1266</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25918.27</v>
      </c>
      <c r="S45" s="706">
        <v>2153.5300000000002</v>
      </c>
      <c r="T45" s="706">
        <v>2153.5300000000002</v>
      </c>
      <c r="U45" s="706">
        <v>-6096.8</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23688.85</v>
      </c>
      <c r="AM45" s="905">
        <f t="shared" si="2"/>
        <v>2229.4200000000019</v>
      </c>
      <c r="AN45" s="905">
        <f>INDEX(G45:R45,1,MATCH(Parametres!$B$3,G$1:R$1,0))*IF(OR(F45="L",F45="S",F45="I"),-1,1)</f>
        <v>25918.27</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1147</v>
      </c>
      <c r="B46" s="706">
        <v>2025</v>
      </c>
      <c r="C46" s="706" t="s">
        <v>1269</v>
      </c>
      <c r="D46" s="706" t="s">
        <v>1270</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1147</v>
      </c>
      <c r="B47" s="706">
        <v>2025</v>
      </c>
      <c r="C47" s="706" t="s">
        <v>1271</v>
      </c>
      <c r="D47" s="706" t="s">
        <v>1272</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211306.65</v>
      </c>
      <c r="AM47" s="905">
        <f t="shared" si="2"/>
        <v>15343.140000000014</v>
      </c>
      <c r="AN47" s="905">
        <f>INDEX(G47:R47,1,MATCH(Parametres!$B$3,G$1:R$1,0))*IF(OR(F47="L",F47="S",F47="I"),-1,1)</f>
        <v>226649.79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1147</v>
      </c>
      <c r="B48" s="706">
        <v>2025</v>
      </c>
      <c r="C48" s="706" t="s">
        <v>1273</v>
      </c>
      <c r="D48" s="706" t="s">
        <v>1274</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29559.57</v>
      </c>
      <c r="AM48" s="905">
        <f t="shared" si="2"/>
        <v>3117.3499999999985</v>
      </c>
      <c r="AN48" s="905">
        <f>INDEX(G48:R48,1,MATCH(Parametres!$B$3,G$1:R$1,0))*IF(OR(F48="L",F48="S",F48="I"),-1,1)</f>
        <v>32676.92</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1147</v>
      </c>
      <c r="B49" s="706">
        <v>2025</v>
      </c>
      <c r="C49" s="706" t="s">
        <v>1275</v>
      </c>
      <c r="D49" s="706" t="s">
        <v>1276</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45654.34</v>
      </c>
      <c r="AM49" s="905">
        <f t="shared" si="2"/>
        <v>8697.7900000000009</v>
      </c>
      <c r="AN49" s="905">
        <f>INDEX(G49:R49,1,MATCH(Parametres!$B$3,G$1:R$1,0))*IF(OR(F49="L",F49="S",F49="I"),-1,1)</f>
        <v>54352.13</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1147</v>
      </c>
      <c r="B50" s="706">
        <v>2025</v>
      </c>
      <c r="C50" s="706" t="s">
        <v>1277</v>
      </c>
      <c r="D50" s="706" t="s">
        <v>1278</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207150.57</v>
      </c>
      <c r="AM50" s="905">
        <f t="shared" si="2"/>
        <v>21667.329999999987</v>
      </c>
      <c r="AN50" s="905">
        <f>INDEX(G50:R50,1,MATCH(Parametres!$B$3,G$1:R$1,0))*IF(OR(F50="L",F50="S",F50="I"),-1,1)</f>
        <v>228817.9</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1147</v>
      </c>
      <c r="B51" s="706">
        <v>2025</v>
      </c>
      <c r="C51" s="706" t="s">
        <v>1279</v>
      </c>
      <c r="D51" s="706" t="s">
        <v>1280</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52839.29</v>
      </c>
      <c r="AM51" s="905">
        <f t="shared" si="2"/>
        <v>5622.0400000000009</v>
      </c>
      <c r="AN51" s="905">
        <f>INDEX(G51:R51,1,MATCH(Parametres!$B$3,G$1:R$1,0))*IF(OR(F51="L",F51="S",F51="I"),-1,1)</f>
        <v>58461.33</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1147</v>
      </c>
      <c r="B52" s="706">
        <v>2025</v>
      </c>
      <c r="C52" s="706" t="s">
        <v>1281</v>
      </c>
      <c r="D52" s="706" t="s">
        <v>1282</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36265.1</v>
      </c>
      <c r="AM52" s="905">
        <f t="shared" si="2"/>
        <v>3208.5</v>
      </c>
      <c r="AN52" s="905">
        <f>INDEX(G52:R52,1,MATCH(Parametres!$B$3,G$1:R$1,0))*IF(OR(F52="L",F52="S",F52="I"),-1,1)</f>
        <v>39473.599999999999</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1147</v>
      </c>
      <c r="B53" s="706">
        <v>2025</v>
      </c>
      <c r="C53" s="706" t="s">
        <v>1285</v>
      </c>
      <c r="D53" s="706" t="s">
        <v>1286</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1147</v>
      </c>
      <c r="B54" s="706">
        <v>2025</v>
      </c>
      <c r="C54" s="706" t="s">
        <v>1287</v>
      </c>
      <c r="D54" s="706" t="s">
        <v>1288</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61073.99</v>
      </c>
      <c r="AM54" s="905">
        <f t="shared" si="2"/>
        <v>27024.390000000007</v>
      </c>
      <c r="AN54" s="905">
        <f>INDEX(G54:R54,1,MATCH(Parametres!$B$3,G$1:R$1,0))*IF(OR(F54="L",F54="S",F54="I"),-1,1)</f>
        <v>88098.38</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1147</v>
      </c>
      <c r="B55" s="706">
        <v>2025</v>
      </c>
      <c r="C55" s="706" t="s">
        <v>1289</v>
      </c>
      <c r="D55" s="706" t="s">
        <v>1290</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31699.73</v>
      </c>
      <c r="AM55" s="905">
        <f t="shared" si="2"/>
        <v>16693.359999999997</v>
      </c>
      <c r="AN55" s="905">
        <f>INDEX(G55:R55,1,MATCH(Parametres!$B$3,G$1:R$1,0))*IF(OR(F55="L",F55="S",F55="I"),-1,1)</f>
        <v>48393.09</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1147</v>
      </c>
      <c r="B56" s="706">
        <v>2025</v>
      </c>
      <c r="C56" s="706" t="s">
        <v>1291</v>
      </c>
      <c r="D56" s="706" t="s">
        <v>1292</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16447.849999999999</v>
      </c>
      <c r="AM56" s="905">
        <f t="shared" si="2"/>
        <v>1579.75</v>
      </c>
      <c r="AN56" s="905">
        <f>INDEX(G56:R56,1,MATCH(Parametres!$B$3,G$1:R$1,0))*IF(OR(F56="L",F56="S",F56="I"),-1,1)</f>
        <v>18027.599999999999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1147</v>
      </c>
      <c r="B57" s="706">
        <v>2025</v>
      </c>
      <c r="C57" s="706" t="s">
        <v>1293</v>
      </c>
      <c r="D57" s="706" t="s">
        <v>1294</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125767.5</v>
      </c>
      <c r="AM57" s="905">
        <f t="shared" si="2"/>
        <v>32241.76999999999</v>
      </c>
      <c r="AN57" s="905">
        <f>INDEX(G57:R57,1,MATCH(Parametres!$B$3,G$1:R$1,0))*IF(OR(F57="L",F57="S",F57="I"),-1,1)</f>
        <v>158009.26999999999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1147</v>
      </c>
      <c r="B58" s="706">
        <v>2025</v>
      </c>
      <c r="C58" s="706" t="s">
        <v>1295</v>
      </c>
      <c r="D58" s="706" t="s">
        <v>1296</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32247.22</v>
      </c>
      <c r="AM58" s="905">
        <f t="shared" si="2"/>
        <v>10013.830000000002</v>
      </c>
      <c r="AN58" s="905">
        <f>INDEX(G58:R58,1,MATCH(Parametres!$B$3,G$1:R$1,0))*IF(OR(F58="L",F58="S",F58="I"),-1,1)</f>
        <v>42261.05</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1147</v>
      </c>
      <c r="B59" s="706">
        <v>2025</v>
      </c>
      <c r="C59" s="706" t="s">
        <v>1297</v>
      </c>
      <c r="D59" s="706" t="s">
        <v>1298</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18398.75</v>
      </c>
      <c r="AM59" s="905">
        <f t="shared" si="2"/>
        <v>8818.6699999999983</v>
      </c>
      <c r="AN59" s="905">
        <f>INDEX(G59:R59,1,MATCH(Parametres!$B$3,G$1:R$1,0))*IF(OR(F59="L",F59="S",F59="I"),-1,1)</f>
        <v>27217.42</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1147</v>
      </c>
      <c r="B60" s="706">
        <v>2025</v>
      </c>
      <c r="C60" s="706" t="s">
        <v>1301</v>
      </c>
      <c r="D60" s="706" t="s">
        <v>1302</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1147</v>
      </c>
      <c r="B61" s="706">
        <v>2025</v>
      </c>
      <c r="C61" s="706" t="s">
        <v>1303</v>
      </c>
      <c r="D61" s="706" t="s">
        <v>1304</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1147</v>
      </c>
      <c r="B62" s="706">
        <v>2025</v>
      </c>
      <c r="C62" s="706" t="s">
        <v>1305</v>
      </c>
      <c r="D62" s="706" t="s">
        <v>1306</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-6656.61</v>
      </c>
      <c r="S62" s="706">
        <v>73.959999999999994</v>
      </c>
      <c r="T62" s="706">
        <v>73.959999999999994</v>
      </c>
      <c r="U62" s="706">
        <v>-7535.4</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813.56</v>
      </c>
      <c r="AM62" s="905">
        <f t="shared" si="2"/>
        <v>-7470.17</v>
      </c>
      <c r="AN62" s="905">
        <f>INDEX(G62:R62,1,MATCH(Parametres!$B$3,G$1:R$1,0))*IF(OR(F62="L",F62="S",F62="I"),-1,1)</f>
        <v>-6656.61</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1147</v>
      </c>
      <c r="B63" s="706">
        <v>2025</v>
      </c>
      <c r="C63" s="706" t="s">
        <v>1307</v>
      </c>
      <c r="D63" s="706" t="s">
        <v>1308</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-4714.7800000000007</v>
      </c>
      <c r="S63" s="706">
        <v>25.45</v>
      </c>
      <c r="T63" s="706">
        <v>25.45</v>
      </c>
      <c r="U63" s="706">
        <v>-5023.6000000000004</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279.98</v>
      </c>
      <c r="AM63" s="905">
        <f t="shared" si="2"/>
        <v>-4994.76</v>
      </c>
      <c r="AN63" s="905">
        <f>INDEX(G63:R63,1,MATCH(Parametres!$B$3,G$1:R$1,0))*IF(OR(F63="L",F63="S",F63="I"),-1,1)</f>
        <v>-4714.7800000000007</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1147</v>
      </c>
      <c r="B64" s="706">
        <v>2025</v>
      </c>
      <c r="C64" s="706" t="s">
        <v>1309</v>
      </c>
      <c r="D64" s="706" t="s">
        <v>1310</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1147</v>
      </c>
      <c r="B65" s="706">
        <v>2025</v>
      </c>
      <c r="C65" s="706" t="s">
        <v>1311</v>
      </c>
      <c r="D65" s="706" t="s">
        <v>1312</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3759.3700000000008</v>
      </c>
      <c r="S65" s="706">
        <v>973.04</v>
      </c>
      <c r="T65" s="706">
        <v>973.04</v>
      </c>
      <c r="U65" s="706">
        <v>-7535.4</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10703.46</v>
      </c>
      <c r="AM65" s="905">
        <f t="shared" si="2"/>
        <v>-6944.0899999999983</v>
      </c>
      <c r="AN65" s="905">
        <f>INDEX(G65:R65,1,MATCH(Parametres!$B$3,G$1:R$1,0))*IF(OR(F65="L",F65="S",F65="I"),-1,1)</f>
        <v>3759.3700000000008</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1147</v>
      </c>
      <c r="B66" s="706">
        <v>2025</v>
      </c>
      <c r="C66" s="706" t="s">
        <v>1313</v>
      </c>
      <c r="D66" s="706" t="s">
        <v>1314</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-2043.1800000000003</v>
      </c>
      <c r="S66" s="706">
        <v>38.94</v>
      </c>
      <c r="T66" s="706">
        <v>38.94</v>
      </c>
      <c r="U66" s="706">
        <v>-2511.8000000000002</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428.35</v>
      </c>
      <c r="AM66" s="905">
        <f t="shared" si="2"/>
        <v>-2471.5300000000002</v>
      </c>
      <c r="AN66" s="905">
        <f>INDEX(G66:R66,1,MATCH(Parametres!$B$3,G$1:R$1,0))*IF(OR(F66="L",F66="S",F66="I"),-1,1)</f>
        <v>-2043.1800000000003</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1147</v>
      </c>
      <c r="B67" s="706">
        <v>2025</v>
      </c>
      <c r="C67" s="706" t="s">
        <v>1315</v>
      </c>
      <c r="D67" s="706" t="s">
        <v>1316</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-493.33000000000015</v>
      </c>
      <c r="S67" s="706">
        <v>179.84</v>
      </c>
      <c r="T67" s="706">
        <v>179.84</v>
      </c>
      <c r="U67" s="706">
        <v>-2511.8000000000002</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1978.2</v>
      </c>
      <c r="AM67" s="905">
        <f t="shared" si="2"/>
        <v>-2471.5300000000002</v>
      </c>
      <c r="AN67" s="905">
        <f>INDEX(G67:R67,1,MATCH(Parametres!$B$3,G$1:R$1,0))*IF(OR(F67="L",F67="S",F67="I"),-1,1)</f>
        <v>-493.33000000000015</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1147</v>
      </c>
      <c r="B68" s="706">
        <v>2025</v>
      </c>
      <c r="C68" s="706" t="s">
        <v>1317</v>
      </c>
      <c r="D68" s="706" t="s">
        <v>1318</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1147</v>
      </c>
      <c r="B69" s="706">
        <v>2025</v>
      </c>
      <c r="C69" s="706" t="s">
        <v>1319</v>
      </c>
      <c r="D69" s="706" t="s">
        <v>1320</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1147</v>
      </c>
      <c r="B70" s="706">
        <v>2025</v>
      </c>
      <c r="C70" s="706" t="s">
        <v>1321</v>
      </c>
      <c r="D70" s="706" t="s">
        <v>1322</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1147</v>
      </c>
      <c r="B71" s="706">
        <v>2025</v>
      </c>
      <c r="C71" s="706" t="s">
        <v>1323</v>
      </c>
      <c r="D71" s="706" t="s">
        <v>1324</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9900.02</v>
      </c>
      <c r="AM71" s="905">
        <f t="shared" si="8"/>
        <v>1611.42</v>
      </c>
      <c r="AN71" s="905">
        <f>INDEX(G71:R71,1,MATCH(Parametres!$B$3,G$1:R$1,0))*IF(OR(F71="L",F71="S",F71="I"),-1,1)</f>
        <v>11511.44</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1147</v>
      </c>
      <c r="B72" s="706">
        <v>2025</v>
      </c>
      <c r="C72" s="706" t="s">
        <v>1325</v>
      </c>
      <c r="D72" s="706" t="s">
        <v>1326</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11320.59</v>
      </c>
      <c r="AM72" s="905">
        <f t="shared" si="8"/>
        <v>624.69000000000051</v>
      </c>
      <c r="AN72" s="905">
        <f>INDEX(G72:R72,1,MATCH(Parametres!$B$3,G$1:R$1,0))*IF(OR(F72="L",F72="S",F72="I"),-1,1)</f>
        <v>11945.28</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1147</v>
      </c>
      <c r="B73" s="706">
        <v>2025</v>
      </c>
      <c r="C73" s="706" t="s">
        <v>1327</v>
      </c>
      <c r="D73" s="706" t="s">
        <v>1328</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5825.4</v>
      </c>
      <c r="AM73" s="905">
        <f t="shared" si="8"/>
        <v>371.57999999999993</v>
      </c>
      <c r="AN73" s="905">
        <f>INDEX(G73:R73,1,MATCH(Parametres!$B$3,G$1:R$1,0))*IF(OR(F73="L",F73="S",F73="I"),-1,1)</f>
        <v>6196.98</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1147</v>
      </c>
      <c r="B74" s="706">
        <v>2025</v>
      </c>
      <c r="C74" s="706" t="s">
        <v>1329</v>
      </c>
      <c r="D74" s="706" t="s">
        <v>1330</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7169.47</v>
      </c>
      <c r="AM74" s="905">
        <f t="shared" si="8"/>
        <v>740.9399999999996</v>
      </c>
      <c r="AN74" s="905">
        <f>INDEX(G74:R74,1,MATCH(Parametres!$B$3,G$1:R$1,0))*IF(OR(F74="L",F74="S",F74="I"),-1,1)</f>
        <v>7910.41</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1147</v>
      </c>
      <c r="B75" s="706">
        <v>2025</v>
      </c>
      <c r="C75" s="706" t="s">
        <v>1331</v>
      </c>
      <c r="D75" s="706" t="s">
        <v>1332</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2626.57</v>
      </c>
      <c r="AM75" s="905">
        <f t="shared" si="8"/>
        <v>246.98000000000002</v>
      </c>
      <c r="AN75" s="905">
        <f>INDEX(G75:R75,1,MATCH(Parametres!$B$3,G$1:R$1,0))*IF(OR(F75="L",F75="S",F75="I"),-1,1)</f>
        <v>2873.55</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1147</v>
      </c>
      <c r="B76" s="706">
        <v>2025</v>
      </c>
      <c r="C76" s="706" t="s">
        <v>1333</v>
      </c>
      <c r="D76" s="706" t="s">
        <v>1334</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6709.73</v>
      </c>
      <c r="AM76" s="905">
        <f t="shared" si="8"/>
        <v>621.05000000000018</v>
      </c>
      <c r="AN76" s="905">
        <f>INDEX(G76:R76,1,MATCH(Parametres!$B$3,G$1:R$1,0))*IF(OR(F76="L",F76="S",F76="I"),-1,1)</f>
        <v>7330.78</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1147</v>
      </c>
      <c r="B77" s="706">
        <v>2025</v>
      </c>
      <c r="C77" s="706" t="s">
        <v>1335</v>
      </c>
      <c r="D77" s="706" t="s">
        <v>1336</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1147</v>
      </c>
      <c r="B78" s="706">
        <v>2025</v>
      </c>
      <c r="C78" s="706" t="s">
        <v>1337</v>
      </c>
      <c r="D78" s="706" t="s">
        <v>1338</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130663.61</v>
      </c>
      <c r="AM78" s="905">
        <f t="shared" si="8"/>
        <v>7762.0699999999924</v>
      </c>
      <c r="AN78" s="905">
        <f>INDEX(G78:R78,1,MATCH(Parametres!$B$3,G$1:R$1,0))*IF(OR(F78="L",F78="S",F78="I"),-1,1)</f>
        <v>138425.68</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1147</v>
      </c>
      <c r="B79" s="706">
        <v>2025</v>
      </c>
      <c r="C79" s="706" t="s">
        <v>1339</v>
      </c>
      <c r="D79" s="706" t="s">
        <v>1340</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37103.26</v>
      </c>
      <c r="AM79" s="905">
        <f t="shared" si="8"/>
        <v>6429.5099999999948</v>
      </c>
      <c r="AN79" s="905">
        <f>INDEX(G79:R79,1,MATCH(Parametres!$B$3,G$1:R$1,0))*IF(OR(F79="L",F79="S",F79="I"),-1,1)</f>
        <v>43532.77</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1147</v>
      </c>
      <c r="B80" s="706">
        <v>2025</v>
      </c>
      <c r="C80" s="706" t="s">
        <v>1341</v>
      </c>
      <c r="D80" s="706" t="s">
        <v>1342</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1147</v>
      </c>
      <c r="B81" s="706">
        <v>2025</v>
      </c>
      <c r="C81" s="706" t="s">
        <v>1343</v>
      </c>
      <c r="D81" s="706" t="s">
        <v>1344</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-37860.839999999997</v>
      </c>
      <c r="AM81" s="905">
        <f t="shared" si="8"/>
        <v>4024.0599999999977</v>
      </c>
      <c r="AN81" s="905">
        <f>INDEX(G81:R81,1,MATCH(Parametres!$B$3,G$1:R$1,0))*IF(OR(F81="L",F81="S",F81="I"),-1,1)</f>
        <v>-33836.78</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1147</v>
      </c>
      <c r="B82" s="706">
        <v>2025</v>
      </c>
      <c r="C82" s="706" t="s">
        <v>1345</v>
      </c>
      <c r="D82" s="706" t="s">
        <v>1346</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-7440.42</v>
      </c>
      <c r="AM82" s="905">
        <f t="shared" si="8"/>
        <v>-7327.09</v>
      </c>
      <c r="AN82" s="905">
        <f>INDEX(G82:R82,1,MATCH(Parametres!$B$3,G$1:R$1,0))*IF(OR(F82="L",F82="S",F82="I"),-1,1)</f>
        <v>-14767.51</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1147</v>
      </c>
      <c r="B83" s="706">
        <v>2025</v>
      </c>
      <c r="C83" s="706" t="s">
        <v>1347</v>
      </c>
      <c r="D83" s="706" t="s">
        <v>1348</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29850.97</v>
      </c>
      <c r="AM83" s="905">
        <f t="shared" si="8"/>
        <v>1444.3499999999985</v>
      </c>
      <c r="AN83" s="905">
        <f>INDEX(G83:R83,1,MATCH(Parametres!$B$3,G$1:R$1,0))*IF(OR(F83="L",F83="S",F83="I"),-1,1)</f>
        <v>31295.32</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1147</v>
      </c>
      <c r="B84" s="706">
        <v>2025</v>
      </c>
      <c r="C84" s="706" t="s">
        <v>1349</v>
      </c>
      <c r="D84" s="706" t="s">
        <v>1350</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1147</v>
      </c>
      <c r="B85" s="706">
        <v>2025</v>
      </c>
      <c r="C85" s="706" t="s">
        <v>1351</v>
      </c>
      <c r="D85" s="706" t="s">
        <v>1352</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1147</v>
      </c>
      <c r="B86" s="706">
        <v>2025</v>
      </c>
      <c r="C86" s="706" t="s">
        <v>1353</v>
      </c>
      <c r="D86" s="706" t="s">
        <v>1354</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1147</v>
      </c>
      <c r="B87" s="706">
        <v>2025</v>
      </c>
      <c r="C87" s="706" t="s">
        <v>1355</v>
      </c>
      <c r="D87" s="706" t="s">
        <v>1356</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1147</v>
      </c>
      <c r="B88" s="706">
        <v>2025</v>
      </c>
      <c r="C88" s="706" t="s">
        <v>1357</v>
      </c>
      <c r="D88" s="706" t="s">
        <v>1358</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1147</v>
      </c>
      <c r="B89" s="706">
        <v>2025</v>
      </c>
      <c r="C89" s="706" t="s">
        <v>1359</v>
      </c>
      <c r="D89" s="706" t="s">
        <v>1360</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1147</v>
      </c>
      <c r="B90" s="706">
        <v>2025</v>
      </c>
      <c r="C90" s="706" t="s">
        <v>1361</v>
      </c>
      <c r="D90" s="706" t="s">
        <v>1362</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1147</v>
      </c>
      <c r="B91" s="706">
        <v>2025</v>
      </c>
      <c r="C91" s="706" t="s">
        <v>1363</v>
      </c>
      <c r="D91" s="706" t="s">
        <v>1364</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1147</v>
      </c>
      <c r="B92" s="706">
        <v>2025</v>
      </c>
      <c r="C92" s="706" t="s">
        <v>1365</v>
      </c>
      <c r="D92" s="706" t="s">
        <v>1366</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1147</v>
      </c>
      <c r="B93" s="706">
        <v>2025</v>
      </c>
      <c r="C93" s="706" t="s">
        <v>1367</v>
      </c>
      <c r="D93" s="706" t="s">
        <v>1368</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6036.62</v>
      </c>
      <c r="S93" s="706">
        <v>396.99</v>
      </c>
      <c r="T93" s="706">
        <v>396.99</v>
      </c>
      <c r="U93" s="706">
        <v>-190.2</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4366.8999999999996</v>
      </c>
      <c r="AM93" s="905">
        <f t="shared" si="8"/>
        <v>1669.7200000000003</v>
      </c>
      <c r="AN93" s="905">
        <f>INDEX(G93:R93,1,MATCH(Parametres!$B$3,G$1:R$1,0))*IF(OR(F93="L",F93="S",F93="I"),-1,1)</f>
        <v>6036.62</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1147</v>
      </c>
      <c r="B94" s="706">
        <v>2025</v>
      </c>
      <c r="C94" s="706" t="s">
        <v>1369</v>
      </c>
      <c r="D94" s="706" t="s">
        <v>1370</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4022.9299999999994</v>
      </c>
      <c r="S94" s="706">
        <v>265.01</v>
      </c>
      <c r="T94" s="706">
        <v>265.01</v>
      </c>
      <c r="U94" s="706">
        <v>-126.8</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2915.13</v>
      </c>
      <c r="AM94" s="905">
        <f t="shared" si="8"/>
        <v>1107.7999999999993</v>
      </c>
      <c r="AN94" s="905">
        <f>INDEX(G94:R94,1,MATCH(Parametres!$B$3,G$1:R$1,0))*IF(OR(F94="L",F94="S",F94="I"),-1,1)</f>
        <v>4022.9299999999994</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1147</v>
      </c>
      <c r="B95" s="706">
        <v>2025</v>
      </c>
      <c r="C95" s="706" t="s">
        <v>1371</v>
      </c>
      <c r="D95" s="706" t="s">
        <v>1372</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1147</v>
      </c>
      <c r="B96" s="706">
        <v>2025</v>
      </c>
      <c r="C96" s="706" t="s">
        <v>1373</v>
      </c>
      <c r="D96" s="706" t="s">
        <v>1374</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6035.06</v>
      </c>
      <c r="S96" s="706">
        <v>395.99</v>
      </c>
      <c r="T96" s="706">
        <v>395.99</v>
      </c>
      <c r="U96" s="706">
        <v>-190.2</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4355.9399999999996</v>
      </c>
      <c r="AM96" s="905">
        <f t="shared" si="8"/>
        <v>1679.1200000000008</v>
      </c>
      <c r="AN96" s="905">
        <f>INDEX(G96:R96,1,MATCH(Parametres!$B$3,G$1:R$1,0))*IF(OR(F96="L",F96="S",F96="I"),-1,1)</f>
        <v>6035.06</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1147</v>
      </c>
      <c r="B97" s="706">
        <v>2025</v>
      </c>
      <c r="C97" s="706" t="s">
        <v>1375</v>
      </c>
      <c r="D97" s="706" t="s">
        <v>1376</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1932.74</v>
      </c>
      <c r="S97" s="706">
        <v>125.35</v>
      </c>
      <c r="T97" s="706">
        <v>125.35</v>
      </c>
      <c r="U97" s="706">
        <v>-63.4</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1378.83</v>
      </c>
      <c r="AM97" s="905">
        <f t="shared" si="8"/>
        <v>553.91000000000008</v>
      </c>
      <c r="AN97" s="905">
        <f>INDEX(G97:R97,1,MATCH(Parametres!$B$3,G$1:R$1,0))*IF(OR(F97="L",F97="S",F97="I"),-1,1)</f>
        <v>1932.74</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1147</v>
      </c>
      <c r="B98" s="706">
        <v>2025</v>
      </c>
      <c r="C98" s="706" t="s">
        <v>1377</v>
      </c>
      <c r="D98" s="706" t="s">
        <v>1378</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1932.6299999999999</v>
      </c>
      <c r="S98" s="706">
        <v>125.34</v>
      </c>
      <c r="T98" s="706">
        <v>125.34</v>
      </c>
      <c r="U98" s="706">
        <v>-63.4</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1378.76</v>
      </c>
      <c r="AM98" s="905">
        <f t="shared" si="8"/>
        <v>553.86999999999989</v>
      </c>
      <c r="AN98" s="905">
        <f>INDEX(G98:R98,1,MATCH(Parametres!$B$3,G$1:R$1,0))*IF(OR(F98="L",F98="S",F98="I"),-1,1)</f>
        <v>1932.6299999999999</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1147</v>
      </c>
      <c r="B99" s="706">
        <v>2025</v>
      </c>
      <c r="C99" s="706" t="s">
        <v>1379</v>
      </c>
      <c r="D99" s="706" t="s">
        <v>1380</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1147</v>
      </c>
      <c r="B100" s="706">
        <v>2025</v>
      </c>
      <c r="C100" s="706" t="s">
        <v>1381</v>
      </c>
      <c r="D100" s="706" t="s">
        <v>1382</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22867.97</v>
      </c>
      <c r="AM100" s="905">
        <f t="shared" si="8"/>
        <v>2616.0299999999988</v>
      </c>
      <c r="AN100" s="905">
        <f>INDEX(G100:R100,1,MATCH(Parametres!$B$3,G$1:R$1,0))*IF(OR(F100="L",F100="S",F100="I"),-1,1)</f>
        <v>25484</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1147</v>
      </c>
      <c r="B101" s="706">
        <v>2025</v>
      </c>
      <c r="C101" s="706" t="s">
        <v>1383</v>
      </c>
      <c r="D101" s="706" t="s">
        <v>1384</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7492.21</v>
      </c>
      <c r="AM101" s="905">
        <f t="shared" si="8"/>
        <v>709.17999999999938</v>
      </c>
      <c r="AN101" s="905">
        <f>INDEX(G101:R101,1,MATCH(Parametres!$B$3,G$1:R$1,0))*IF(OR(F101="L",F101="S",F101="I"),-1,1)</f>
        <v>8201.39</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1147</v>
      </c>
      <c r="B102" s="706">
        <v>2025</v>
      </c>
      <c r="C102" s="706" t="s">
        <v>1385</v>
      </c>
      <c r="D102" s="706" t="s">
        <v>1386</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-5124.63</v>
      </c>
      <c r="AM102" s="905">
        <f t="shared" si="8"/>
        <v>116</v>
      </c>
      <c r="AN102" s="905">
        <f>INDEX(G102:R102,1,MATCH(Parametres!$B$3,G$1:R$1,0))*IF(OR(F102="L",F102="S",F102="I"),-1,1)</f>
        <v>-5008.63</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1147</v>
      </c>
      <c r="B103" s="706">
        <v>2025</v>
      </c>
      <c r="C103" s="706" t="s">
        <v>1387</v>
      </c>
      <c r="D103" s="706" t="s">
        <v>1388</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16228</v>
      </c>
      <c r="AM103" s="905">
        <f t="shared" si="8"/>
        <v>1128.3300000000017</v>
      </c>
      <c r="AN103" s="905">
        <f>INDEX(G103:R103,1,MATCH(Parametres!$B$3,G$1:R$1,0))*IF(OR(F103="L",F103="S",F103="I"),-1,1)</f>
        <v>17356.330000000002</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1147</v>
      </c>
      <c r="B104" s="706">
        <v>2025</v>
      </c>
      <c r="C104" s="706" t="s">
        <v>1389</v>
      </c>
      <c r="D104" s="706" t="s">
        <v>1390</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5747.07</v>
      </c>
      <c r="AM104" s="905">
        <f t="shared" si="8"/>
        <v>437.40000000000055</v>
      </c>
      <c r="AN104" s="905">
        <f>INDEX(G104:R104,1,MATCH(Parametres!$B$3,G$1:R$1,0))*IF(OR(F104="L",F104="S",F104="I"),-1,1)</f>
        <v>6184.47</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1147</v>
      </c>
      <c r="B105" s="706">
        <v>2025</v>
      </c>
      <c r="C105" s="706" t="s">
        <v>1391</v>
      </c>
      <c r="D105" s="706" t="s">
        <v>1392</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5851.25</v>
      </c>
      <c r="AM105" s="905">
        <f t="shared" si="8"/>
        <v>511.81999999999971</v>
      </c>
      <c r="AN105" s="905">
        <f>INDEX(G105:R105,1,MATCH(Parametres!$B$3,G$1:R$1,0))*IF(OR(F105="L",F105="S",F105="I"),-1,1)</f>
        <v>6363.07</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1147</v>
      </c>
      <c r="B106" s="706">
        <v>2025</v>
      </c>
      <c r="C106" s="706" t="s">
        <v>1393</v>
      </c>
      <c r="D106" s="706" t="s">
        <v>1394</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1147</v>
      </c>
      <c r="B107" s="706">
        <v>2025</v>
      </c>
      <c r="C107" s="706" t="s">
        <v>1395</v>
      </c>
      <c r="D107" s="706" t="s">
        <v>1396</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7005.17</v>
      </c>
      <c r="AM107" s="905">
        <f t="shared" si="8"/>
        <v>106.02999999999975</v>
      </c>
      <c r="AN107" s="905">
        <f>INDEX(G107:R107,1,MATCH(Parametres!$B$3,G$1:R$1,0))*IF(OR(F107="L",F107="S",F107="I"),-1,1)</f>
        <v>7111.2</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1147</v>
      </c>
      <c r="B108" s="706">
        <v>2025</v>
      </c>
      <c r="C108" s="706" t="s">
        <v>1397</v>
      </c>
      <c r="D108" s="706" t="s">
        <v>1398</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1350.47</v>
      </c>
      <c r="AM108" s="905">
        <f t="shared" si="8"/>
        <v>21.119999999999891</v>
      </c>
      <c r="AN108" s="905">
        <f>INDEX(G108:R108,1,MATCH(Parametres!$B$3,G$1:R$1,0))*IF(OR(F108="L",F108="S",F108="I"),-1,1)</f>
        <v>1371.59</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1147</v>
      </c>
      <c r="B109" s="706">
        <v>2025</v>
      </c>
      <c r="C109" s="706" t="s">
        <v>1399</v>
      </c>
      <c r="D109" s="706" t="s">
        <v>1400</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1147</v>
      </c>
      <c r="B110" s="706">
        <v>2025</v>
      </c>
      <c r="C110" s="706" t="s">
        <v>1401</v>
      </c>
      <c r="D110" s="706" t="s">
        <v>1402</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45955.07</v>
      </c>
      <c r="AM110" s="905">
        <f t="shared" si="8"/>
        <v>6765.6500000000015</v>
      </c>
      <c r="AN110" s="905">
        <f>INDEX(G110:R110,1,MATCH(Parametres!$B$3,G$1:R$1,0))*IF(OR(F110="L",F110="S",F110="I"),-1,1)</f>
        <v>52720.72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1147</v>
      </c>
      <c r="B111" s="706">
        <v>2025</v>
      </c>
      <c r="C111" s="706" t="s">
        <v>1403</v>
      </c>
      <c r="D111" s="706" t="s">
        <v>1404</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42132.87</v>
      </c>
      <c r="AM111" s="905">
        <f t="shared" si="8"/>
        <v>3652.9599999999991</v>
      </c>
      <c r="AN111" s="905">
        <f>INDEX(G111:R111,1,MATCH(Parametres!$B$3,G$1:R$1,0))*IF(OR(F111="L",F111="S",F111="I"),-1,1)</f>
        <v>45785.83</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1147</v>
      </c>
      <c r="B112" s="706">
        <v>2025</v>
      </c>
      <c r="C112" s="706" t="s">
        <v>1405</v>
      </c>
      <c r="D112" s="706" t="s">
        <v>1406</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1537.59</v>
      </c>
      <c r="AM112" s="905">
        <f t="shared" si="8"/>
        <v>14.070000000000164</v>
      </c>
      <c r="AN112" s="905">
        <f>INDEX(G112:R112,1,MATCH(Parametres!$B$3,G$1:R$1,0))*IF(OR(F112="L",F112="S",F112="I"),-1,1)</f>
        <v>1551.66</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1147</v>
      </c>
      <c r="B113" s="706">
        <v>2025</v>
      </c>
      <c r="C113" s="706" t="s">
        <v>1407</v>
      </c>
      <c r="D113" s="706" t="s">
        <v>1408</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1147</v>
      </c>
      <c r="B114" s="706">
        <v>2025</v>
      </c>
      <c r="C114" s="706" t="s">
        <v>1409</v>
      </c>
      <c r="D114" s="706" t="s">
        <v>1410</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1147</v>
      </c>
      <c r="B115" s="706">
        <v>2025</v>
      </c>
      <c r="C115" s="706" t="s">
        <v>1411</v>
      </c>
      <c r="D115" s="706" t="s">
        <v>1412</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14134.62</v>
      </c>
      <c r="AM115" s="905">
        <f t="shared" si="8"/>
        <v>1768.1899999999987</v>
      </c>
      <c r="AN115" s="905">
        <f>INDEX(G115:R115,1,MATCH(Parametres!$B$3,G$1:R$1,0))*IF(OR(F115="L",F115="S",F115="I"),-1,1)</f>
        <v>15902.81</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1147</v>
      </c>
      <c r="B116" s="706">
        <v>2025</v>
      </c>
      <c r="C116" s="706" t="s">
        <v>1413</v>
      </c>
      <c r="D116" s="706" t="s">
        <v>1412</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748.77</v>
      </c>
      <c r="AM116" s="905">
        <f t="shared" si="8"/>
        <v>209.80000000000007</v>
      </c>
      <c r="AN116" s="905">
        <f>INDEX(G116:R116,1,MATCH(Parametres!$B$3,G$1:R$1,0))*IF(OR(F116="L",F116="S",F116="I"),-1,1)</f>
        <v>958.57</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1147</v>
      </c>
      <c r="B117" s="706">
        <v>2025</v>
      </c>
      <c r="C117" s="706" t="s">
        <v>1414</v>
      </c>
      <c r="D117" s="706" t="s">
        <v>1415</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1147</v>
      </c>
      <c r="B118" s="706">
        <v>2025</v>
      </c>
      <c r="C118" s="706" t="s">
        <v>1416</v>
      </c>
      <c r="D118" s="706" t="s">
        <v>1412</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11843.57</v>
      </c>
      <c r="AM118" s="905">
        <f t="shared" si="8"/>
        <v>1138.7800000000007</v>
      </c>
      <c r="AN118" s="905">
        <f>INDEX(G118:R118,1,MATCH(Parametres!$B$3,G$1:R$1,0))*IF(OR(F118="L",F118="S",F118="I"),-1,1)</f>
        <v>12982.35</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1147</v>
      </c>
      <c r="B119" s="706">
        <v>2025</v>
      </c>
      <c r="C119" s="706" t="s">
        <v>1417</v>
      </c>
      <c r="D119" s="706" t="s">
        <v>1412</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187.19</v>
      </c>
      <c r="AM119" s="905">
        <f t="shared" si="8"/>
        <v>52.449999999999989</v>
      </c>
      <c r="AN119" s="905">
        <f>INDEX(G119:R119,1,MATCH(Parametres!$B$3,G$1:R$1,0))*IF(OR(F119="L",F119="S",F119="I"),-1,1)</f>
        <v>239.64</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1147</v>
      </c>
      <c r="B120" s="706">
        <v>2025</v>
      </c>
      <c r="C120" s="706" t="s">
        <v>1418</v>
      </c>
      <c r="D120" s="706" t="s">
        <v>1412</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11843.53</v>
      </c>
      <c r="AM120" s="905">
        <f t="shared" si="8"/>
        <v>1138.7799999999988</v>
      </c>
      <c r="AN120" s="905">
        <f>INDEX(G120:R120,1,MATCH(Parametres!$B$3,G$1:R$1,0))*IF(OR(F120="L",F120="S",F120="I"),-1,1)</f>
        <v>12982.31</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1147</v>
      </c>
      <c r="B121" s="706">
        <v>2025</v>
      </c>
      <c r="C121" s="706" t="s">
        <v>1419</v>
      </c>
      <c r="D121" s="706" t="s">
        <v>1420</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-359484</v>
      </c>
      <c r="AM121" s="905">
        <f t="shared" si="8"/>
        <v>-148433.45000000001</v>
      </c>
      <c r="AN121" s="905">
        <f>INDEX(G121:R121,1,MATCH(Parametres!$B$3,G$1:R$1,0))*IF(OR(F121="L",F121="S",F121="I"),-1,1)</f>
        <v>-507917.45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1147</v>
      </c>
      <c r="B122" s="706">
        <v>2025</v>
      </c>
      <c r="C122" s="706" t="s">
        <v>1421</v>
      </c>
      <c r="D122" s="706" t="s">
        <v>1420</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1147</v>
      </c>
      <c r="B123" s="706">
        <v>2025</v>
      </c>
      <c r="C123" s="706" t="s">
        <v>1422</v>
      </c>
      <c r="D123" s="706" t="s">
        <v>1420</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1147</v>
      </c>
      <c r="B124" s="706">
        <v>2025</v>
      </c>
      <c r="C124" s="706" t="s">
        <v>1423</v>
      </c>
      <c r="D124" s="706" t="s">
        <v>1424</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1147</v>
      </c>
      <c r="B125" s="706">
        <v>2025</v>
      </c>
      <c r="C125" s="706" t="s">
        <v>1425</v>
      </c>
      <c r="D125" s="706" t="s">
        <v>1420</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1147</v>
      </c>
      <c r="B126" s="706">
        <v>2025</v>
      </c>
      <c r="C126" s="706" t="s">
        <v>1426</v>
      </c>
      <c r="D126" s="706" t="s">
        <v>1427</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1147</v>
      </c>
      <c r="B127" s="706">
        <v>2025</v>
      </c>
      <c r="C127" s="706" t="s">
        <v>1428</v>
      </c>
      <c r="D127" s="706" t="s">
        <v>1429</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1147</v>
      </c>
      <c r="B128" s="706">
        <v>2025</v>
      </c>
      <c r="C128" s="706" t="s">
        <v>1430</v>
      </c>
      <c r="D128" s="706" t="s">
        <v>3099</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1147</v>
      </c>
      <c r="B129" s="706">
        <v>2025</v>
      </c>
      <c r="C129" s="706" t="s">
        <v>1431</v>
      </c>
      <c r="D129" s="706" t="s">
        <v>1432</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142625.10999999999</v>
      </c>
      <c r="S129" s="706">
        <v>11676.8</v>
      </c>
      <c r="T129" s="706">
        <v>11676.8</v>
      </c>
      <c r="U129" s="706">
        <v>4950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128444.76</v>
      </c>
      <c r="AM129" s="905">
        <f t="shared" si="8"/>
        <v>14180.349999999991</v>
      </c>
      <c r="AN129" s="905">
        <f>INDEX(G129:R129,1,MATCH(Parametres!$B$3,G$1:R$1,0))*IF(OR(F129="L",F129="S",F129="I"),-1,1)</f>
        <v>142625.10999999999</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1147</v>
      </c>
      <c r="B130" s="706">
        <v>2025</v>
      </c>
      <c r="C130" s="706" t="s">
        <v>1433</v>
      </c>
      <c r="D130" s="706" t="s">
        <v>1434</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59128.98</v>
      </c>
      <c r="S130" s="706">
        <v>4210.1000000000004</v>
      </c>
      <c r="T130" s="706">
        <v>4210.1000000000004</v>
      </c>
      <c r="U130" s="706">
        <v>3300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46311.11</v>
      </c>
      <c r="AM130" s="905">
        <f t="shared" si="8"/>
        <v>12817.870000000003</v>
      </c>
      <c r="AN130" s="905">
        <f>INDEX(G130:R130,1,MATCH(Parametres!$B$3,G$1:R$1,0))*IF(OR(F130="L",F130="S",F130="I"),-1,1)</f>
        <v>59128.98</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1147</v>
      </c>
      <c r="B131" s="706">
        <v>2025</v>
      </c>
      <c r="C131" s="706" t="s">
        <v>1435</v>
      </c>
      <c r="D131" s="706" t="s">
        <v>1436</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1147</v>
      </c>
      <c r="B132" s="706">
        <v>2025</v>
      </c>
      <c r="C132" s="706" t="s">
        <v>1437</v>
      </c>
      <c r="D132" s="706" t="s">
        <v>1438</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16155</v>
      </c>
      <c r="S132" s="706">
        <v>832.46</v>
      </c>
      <c r="T132" s="706">
        <v>832.46</v>
      </c>
      <c r="U132" s="706">
        <v>4950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9157.07</v>
      </c>
      <c r="AM132" s="905">
        <f t="shared" ref="AM132:AM195" si="14">AN132-AL132</f>
        <v>6997.93</v>
      </c>
      <c r="AN132" s="905">
        <f>INDEX(G132:R132,1,MATCH(Parametres!$B$3,G$1:R$1,0))*IF(OR(F132="L",F132="S",F132="I"),-1,1)</f>
        <v>16155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1147</v>
      </c>
      <c r="B133" s="706">
        <v>2025</v>
      </c>
      <c r="C133" s="706" t="s">
        <v>1439</v>
      </c>
      <c r="D133" s="706" t="s">
        <v>1440</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11234.73</v>
      </c>
      <c r="S133" s="706">
        <v>608.1</v>
      </c>
      <c r="T133" s="706">
        <v>608.1</v>
      </c>
      <c r="U133" s="706">
        <v>1650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6689.1</v>
      </c>
      <c r="AM133" s="905">
        <f t="shared" si="14"/>
        <v>4545.6299999999992</v>
      </c>
      <c r="AN133" s="905">
        <f>INDEX(G133:R133,1,MATCH(Parametres!$B$3,G$1:R$1,0))*IF(OR(F133="L",F133="S",F133="I"),-1,1)</f>
        <v>11234.73</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1147</v>
      </c>
      <c r="B134" s="706">
        <v>2025</v>
      </c>
      <c r="C134" s="706" t="s">
        <v>1441</v>
      </c>
      <c r="D134" s="706" t="s">
        <v>1442</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3483.77</v>
      </c>
      <c r="S134" s="706">
        <v>144.83000000000001</v>
      </c>
      <c r="T134" s="706">
        <v>144.83000000000001</v>
      </c>
      <c r="U134" s="706">
        <v>1650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1593.16</v>
      </c>
      <c r="AM134" s="905">
        <f t="shared" si="14"/>
        <v>1890.61</v>
      </c>
      <c r="AN134" s="905">
        <f>INDEX(G134:R134,1,MATCH(Parametres!$B$3,G$1:R$1,0))*IF(OR(F134="L",F134="S",F134="I"),-1,1)</f>
        <v>3483.77</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1147</v>
      </c>
      <c r="B135" s="706">
        <v>2025</v>
      </c>
      <c r="C135" s="706" t="s">
        <v>1443</v>
      </c>
      <c r="D135" s="706" t="s">
        <v>1444</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1147</v>
      </c>
      <c r="B136" s="706">
        <v>2025</v>
      </c>
      <c r="C136" s="706" t="s">
        <v>1445</v>
      </c>
      <c r="D136" s="706" t="s">
        <v>1446</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820</v>
      </c>
      <c r="AM136" s="905">
        <f t="shared" si="14"/>
        <v>1283.6999999999998</v>
      </c>
      <c r="AN136" s="905">
        <f>INDEX(G136:R136,1,MATCH(Parametres!$B$3,G$1:R$1,0))*IF(OR(F136="L",F136="S",F136="I"),-1,1)</f>
        <v>2103.6999999999998</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1147</v>
      </c>
      <c r="B137" s="706">
        <v>2025</v>
      </c>
      <c r="C137" s="706" t="s">
        <v>1447</v>
      </c>
      <c r="D137" s="706" t="s">
        <v>1448</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410</v>
      </c>
      <c r="AM137" s="905">
        <f t="shared" si="14"/>
        <v>641.84999999999991</v>
      </c>
      <c r="AN137" s="905">
        <f>INDEX(G137:R137,1,MATCH(Parametres!$B$3,G$1:R$1,0))*IF(OR(F137="L",F137="S",F137="I"),-1,1)</f>
        <v>1051.8499999999999</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1147</v>
      </c>
      <c r="B138" s="706">
        <v>2025</v>
      </c>
      <c r="C138" s="706" t="s">
        <v>1449</v>
      </c>
      <c r="D138" s="706" t="s">
        <v>1450</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865</v>
      </c>
      <c r="AM138" s="905">
        <f t="shared" si="14"/>
        <v>962.78</v>
      </c>
      <c r="AN138" s="905">
        <f>INDEX(G138:R138,1,MATCH(Parametres!$B$3,G$1:R$1,0))*IF(OR(F138="L",F138="S",F138="I"),-1,1)</f>
        <v>1827.78</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1147</v>
      </c>
      <c r="B139" s="706">
        <v>2025</v>
      </c>
      <c r="C139" s="706" t="s">
        <v>1451</v>
      </c>
      <c r="D139" s="706" t="s">
        <v>1452</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205</v>
      </c>
      <c r="AM139" s="905">
        <f t="shared" si="14"/>
        <v>320.91999999999996</v>
      </c>
      <c r="AN139" s="905">
        <f>INDEX(G139:R139,1,MATCH(Parametres!$B$3,G$1:R$1,0))*IF(OR(F139="L",F139="S",F139="I"),-1,1)</f>
        <v>525.91999999999996</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1147</v>
      </c>
      <c r="B140" s="706">
        <v>2025</v>
      </c>
      <c r="C140" s="706" t="s">
        <v>1453</v>
      </c>
      <c r="D140" s="706" t="s">
        <v>1454</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1147</v>
      </c>
      <c r="B141" s="706">
        <v>2025</v>
      </c>
      <c r="C141" s="706" t="s">
        <v>1455</v>
      </c>
      <c r="D141" s="706" t="s">
        <v>1456</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31015.97</v>
      </c>
      <c r="AM141" s="905">
        <f t="shared" si="14"/>
        <v>10024.239999999998</v>
      </c>
      <c r="AN141" s="905">
        <f>INDEX(G141:R141,1,MATCH(Parametres!$B$3,G$1:R$1,0))*IF(OR(F141="L",F141="S",F141="I"),-1,1)</f>
        <v>41040.21</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1147</v>
      </c>
      <c r="B142" s="706">
        <v>2025</v>
      </c>
      <c r="C142" s="706" t="s">
        <v>1457</v>
      </c>
      <c r="D142" s="706" t="s">
        <v>1458</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16700.2</v>
      </c>
      <c r="AM142" s="905">
        <f t="shared" si="14"/>
        <v>433.52999999999884</v>
      </c>
      <c r="AN142" s="905">
        <f>INDEX(G142:R142,1,MATCH(Parametres!$B$3,G$1:R$1,0))*IF(OR(F142="L",F142="S",F142="I"),-1,1)</f>
        <v>17133.73</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1147</v>
      </c>
      <c r="B143" s="706">
        <v>2025</v>
      </c>
      <c r="C143" s="706" t="s">
        <v>1459</v>
      </c>
      <c r="D143" s="706" t="s">
        <v>1460</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2123.5300000000002</v>
      </c>
      <c r="AM143" s="905">
        <f t="shared" si="14"/>
        <v>0</v>
      </c>
      <c r="AN143" s="905">
        <f>INDEX(G143:R143,1,MATCH(Parametres!$B$3,G$1:R$1,0))*IF(OR(F143="L",F143="S",F143="I"),-1,1)</f>
        <v>2123.5300000000002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1147</v>
      </c>
      <c r="B144" s="706">
        <v>2025</v>
      </c>
      <c r="C144" s="706" t="s">
        <v>1461</v>
      </c>
      <c r="D144" s="706" t="s">
        <v>1462</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1147</v>
      </c>
      <c r="B145" s="706">
        <v>2025</v>
      </c>
      <c r="C145" s="706" t="s">
        <v>1463</v>
      </c>
      <c r="D145" s="706" t="s">
        <v>1464</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46635.199999999997</v>
      </c>
      <c r="AM145" s="905">
        <f t="shared" si="14"/>
        <v>4007.8500000000058</v>
      </c>
      <c r="AN145" s="905">
        <f>INDEX(G145:R145,1,MATCH(Parametres!$B$3,G$1:R$1,0))*IF(OR(F145="L",F145="S",F145="I"),-1,1)</f>
        <v>50643.05</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1147</v>
      </c>
      <c r="B146" s="706">
        <v>2025</v>
      </c>
      <c r="C146" s="706" t="s">
        <v>1465</v>
      </c>
      <c r="D146" s="706" t="s">
        <v>1466</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19824.37</v>
      </c>
      <c r="AM146" s="905">
        <f t="shared" si="14"/>
        <v>2094.6800000000003</v>
      </c>
      <c r="AN146" s="905">
        <f>INDEX(G146:R146,1,MATCH(Parametres!$B$3,G$1:R$1,0))*IF(OR(F146="L",F146="S",F146="I"),-1,1)</f>
        <v>21919.05</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1147</v>
      </c>
      <c r="B147" s="706">
        <v>2025</v>
      </c>
      <c r="C147" s="706" t="s">
        <v>1467</v>
      </c>
      <c r="D147" s="706" t="s">
        <v>1468</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1147</v>
      </c>
      <c r="B148" s="706">
        <v>2025</v>
      </c>
      <c r="C148" s="706" t="s">
        <v>1469</v>
      </c>
      <c r="D148" s="706" t="s">
        <v>1470</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29444.86</v>
      </c>
      <c r="AM148" s="905">
        <f t="shared" si="14"/>
        <v>5182.1299999999974</v>
      </c>
      <c r="AN148" s="905">
        <f>INDEX(G148:R148,1,MATCH(Parametres!$B$3,G$1:R$1,0))*IF(OR(F148="L",F148="S",F148="I"),-1,1)</f>
        <v>34626.99</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1147</v>
      </c>
      <c r="B149" s="706">
        <v>2025</v>
      </c>
      <c r="C149" s="706" t="s">
        <v>1471</v>
      </c>
      <c r="D149" s="706" t="s">
        <v>1472</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19792.52</v>
      </c>
      <c r="AM149" s="905">
        <f t="shared" si="14"/>
        <v>2679.1499999999978</v>
      </c>
      <c r="AN149" s="905">
        <f>INDEX(G149:R149,1,MATCH(Parametres!$B$3,G$1:R$1,0))*IF(OR(F149="L",F149="S",F149="I"),-1,1)</f>
        <v>22471.67</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1147</v>
      </c>
      <c r="B150" s="706">
        <v>2025</v>
      </c>
      <c r="C150" s="706" t="s">
        <v>1473</v>
      </c>
      <c r="D150" s="706" t="s">
        <v>1474</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18901.29</v>
      </c>
      <c r="AM150" s="905">
        <f t="shared" si="14"/>
        <v>2216</v>
      </c>
      <c r="AN150" s="905">
        <f>INDEX(G150:R150,1,MATCH(Parametres!$B$3,G$1:R$1,0))*IF(OR(F150="L",F150="S",F150="I"),-1,1)</f>
        <v>21117.29</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1147</v>
      </c>
      <c r="B151" s="706">
        <v>2025</v>
      </c>
      <c r="C151" s="706" t="s">
        <v>1475</v>
      </c>
      <c r="D151" s="706" t="s">
        <v>1476</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1147</v>
      </c>
      <c r="B152" s="706">
        <v>2025</v>
      </c>
      <c r="C152" s="706" t="s">
        <v>1477</v>
      </c>
      <c r="D152" s="706" t="s">
        <v>1478</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1147</v>
      </c>
      <c r="B153" s="706">
        <v>2025</v>
      </c>
      <c r="C153" s="706" t="s">
        <v>1479</v>
      </c>
      <c r="D153" s="706" t="s">
        <v>1480</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1147</v>
      </c>
      <c r="B154" s="706">
        <v>2025</v>
      </c>
      <c r="C154" s="706" t="s">
        <v>1481</v>
      </c>
      <c r="D154" s="706" t="s">
        <v>1482</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49384.77</v>
      </c>
      <c r="AM154" s="905">
        <f t="shared" si="14"/>
        <v>3130.1100000000006</v>
      </c>
      <c r="AN154" s="905">
        <f>INDEX(G154:R154,1,MATCH(Parametres!$B$3,G$1:R$1,0))*IF(OR(F154="L",F154="S",F154="I"),-1,1)</f>
        <v>52514.879999999997</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1147</v>
      </c>
      <c r="B155" s="706">
        <v>2025</v>
      </c>
      <c r="C155" s="706" t="s">
        <v>1483</v>
      </c>
      <c r="D155" s="706" t="s">
        <v>1484</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26791.69</v>
      </c>
      <c r="AM155" s="905">
        <f t="shared" si="14"/>
        <v>1819.7400000000016</v>
      </c>
      <c r="AN155" s="905">
        <f>INDEX(G155:R155,1,MATCH(Parametres!$B$3,G$1:R$1,0))*IF(OR(F155="L",F155="S",F155="I"),-1,1)</f>
        <v>28611.43</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1147</v>
      </c>
      <c r="B156" s="706">
        <v>2025</v>
      </c>
      <c r="C156" s="706" t="s">
        <v>1485</v>
      </c>
      <c r="D156" s="706" t="s">
        <v>1486</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1147</v>
      </c>
      <c r="B157" s="706">
        <v>2025</v>
      </c>
      <c r="C157" s="706" t="s">
        <v>1487</v>
      </c>
      <c r="D157" s="706" t="s">
        <v>1488</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97548.14</v>
      </c>
      <c r="AM157" s="905">
        <f t="shared" si="14"/>
        <v>8898.2299999999959</v>
      </c>
      <c r="AN157" s="905">
        <f>INDEX(G157:R157,1,MATCH(Parametres!$B$3,G$1:R$1,0))*IF(OR(F157="L",F157="S",F157="I"),-1,1)</f>
        <v>106446.37</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1147</v>
      </c>
      <c r="B158" s="706">
        <v>2025</v>
      </c>
      <c r="C158" s="706" t="s">
        <v>1489</v>
      </c>
      <c r="D158" s="706" t="s">
        <v>1490</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31780.99</v>
      </c>
      <c r="AM158" s="905">
        <f t="shared" si="14"/>
        <v>1651.4799999999996</v>
      </c>
      <c r="AN158" s="905">
        <f>INDEX(G158:R158,1,MATCH(Parametres!$B$3,G$1:R$1,0))*IF(OR(F158="L",F158="S",F158="I"),-1,1)</f>
        <v>33432.47</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1147</v>
      </c>
      <c r="B159" s="706">
        <v>2025</v>
      </c>
      <c r="C159" s="706" t="s">
        <v>1491</v>
      </c>
      <c r="D159" s="706" t="s">
        <v>1492</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16957.240000000002</v>
      </c>
      <c r="AM159" s="905">
        <f t="shared" si="14"/>
        <v>909.87999999999738</v>
      </c>
      <c r="AN159" s="905">
        <f>INDEX(G159:R159,1,MATCH(Parametres!$B$3,G$1:R$1,0))*IF(OR(F159="L",F159="S",F159="I"),-1,1)</f>
        <v>17867.12</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1147</v>
      </c>
      <c r="B160" s="706">
        <v>2025</v>
      </c>
      <c r="C160" s="706" t="s">
        <v>1493</v>
      </c>
      <c r="D160" s="706" t="s">
        <v>1494</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1147</v>
      </c>
      <c r="B161" s="706">
        <v>2025</v>
      </c>
      <c r="C161" s="706" t="s">
        <v>1495</v>
      </c>
      <c r="D161" s="706" t="s">
        <v>1496</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1147</v>
      </c>
      <c r="B162" s="706">
        <v>2025</v>
      </c>
      <c r="C162" s="706" t="s">
        <v>1497</v>
      </c>
      <c r="D162" s="706" t="s">
        <v>1498</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1147</v>
      </c>
      <c r="B163" s="706">
        <v>2025</v>
      </c>
      <c r="C163" s="706" t="s">
        <v>1499</v>
      </c>
      <c r="D163" s="706" t="s">
        <v>1500</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9658.91</v>
      </c>
      <c r="AM163" s="905">
        <f t="shared" si="14"/>
        <v>-379.94000000000051</v>
      </c>
      <c r="AN163" s="905">
        <f>INDEX(G163:R163,1,MATCH(Parametres!$B$3,G$1:R$1,0))*IF(OR(F163="L",F163="S",F163="I"),-1,1)</f>
        <v>9278.9699999999993</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1147</v>
      </c>
      <c r="B164" s="706">
        <v>2025</v>
      </c>
      <c r="C164" s="706" t="s">
        <v>1501</v>
      </c>
      <c r="D164" s="706" t="s">
        <v>1502</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32287.690000000002</v>
      </c>
      <c r="S164" s="706">
        <v>3327.83</v>
      </c>
      <c r="T164" s="706">
        <v>3327.83</v>
      </c>
      <c r="U164" s="706">
        <v>1690.13</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36606.17</v>
      </c>
      <c r="AM164" s="905">
        <f t="shared" si="14"/>
        <v>-4318.4799999999959</v>
      </c>
      <c r="AN164" s="905">
        <f>INDEX(G164:R164,1,MATCH(Parametres!$B$3,G$1:R$1,0))*IF(OR(F164="L",F164="S",F164="I"),-1,1)</f>
        <v>32287.690000000002</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1147</v>
      </c>
      <c r="B165" s="706">
        <v>2025</v>
      </c>
      <c r="C165" s="706" t="s">
        <v>1503</v>
      </c>
      <c r="D165" s="706" t="s">
        <v>1504</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2394.5300000000002</v>
      </c>
      <c r="AM165" s="905">
        <f t="shared" si="14"/>
        <v>14.199999999999818</v>
      </c>
      <c r="AN165" s="905">
        <f>INDEX(G165:R165,1,MATCH(Parametres!$B$3,G$1:R$1,0))*IF(OR(F165="L",F165="S",F165="I"),-1,1)</f>
        <v>2408.73</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1147</v>
      </c>
      <c r="B166" s="706">
        <v>2025</v>
      </c>
      <c r="C166" s="706" t="s">
        <v>1505</v>
      </c>
      <c r="D166" s="706" t="s">
        <v>1506</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20213.89</v>
      </c>
      <c r="S166" s="706">
        <v>2107.7199999999998</v>
      </c>
      <c r="T166" s="706">
        <v>2107.7199999999998</v>
      </c>
      <c r="U166" s="706">
        <v>1126.76</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23184.880000000001</v>
      </c>
      <c r="AM166" s="905">
        <f t="shared" si="14"/>
        <v>-2970.9900000000016</v>
      </c>
      <c r="AN166" s="905">
        <f>INDEX(G166:R166,1,MATCH(Parametres!$B$3,G$1:R$1,0))*IF(OR(F166="L",F166="S",F166="I"),-1,1)</f>
        <v>20213.89</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1147</v>
      </c>
      <c r="B167" s="706">
        <v>2025</v>
      </c>
      <c r="C167" s="706" t="s">
        <v>1507</v>
      </c>
      <c r="D167" s="706" t="s">
        <v>1508</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1147</v>
      </c>
      <c r="B168" s="706">
        <v>2025</v>
      </c>
      <c r="C168" s="706" t="s">
        <v>1509</v>
      </c>
      <c r="D168" s="706" t="s">
        <v>1510</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1147</v>
      </c>
      <c r="B169" s="706">
        <v>2025</v>
      </c>
      <c r="C169" s="706" t="s">
        <v>1511</v>
      </c>
      <c r="D169" s="706" t="s">
        <v>1512</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1147</v>
      </c>
      <c r="B170" s="706">
        <v>2025</v>
      </c>
      <c r="C170" s="706" t="s">
        <v>1513</v>
      </c>
      <c r="D170" s="706" t="s">
        <v>1514</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30419.49</v>
      </c>
      <c r="S170" s="706">
        <v>3203.82</v>
      </c>
      <c r="T170" s="706">
        <v>3203.82</v>
      </c>
      <c r="U170" s="706">
        <v>1690.13</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35241.99</v>
      </c>
      <c r="AM170" s="905">
        <f t="shared" si="14"/>
        <v>-4822.4999999999964</v>
      </c>
      <c r="AN170" s="905">
        <f>INDEX(G170:R170,1,MATCH(Parametres!$B$3,G$1:R$1,0))*IF(OR(F170="L",F170="S",F170="I"),-1,1)</f>
        <v>30419.49</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1147</v>
      </c>
      <c r="B171" s="706">
        <v>2025</v>
      </c>
      <c r="C171" s="706" t="s">
        <v>1515</v>
      </c>
      <c r="D171" s="706" t="s">
        <v>1516</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614.26</v>
      </c>
      <c r="AM171" s="905">
        <f t="shared" si="14"/>
        <v>0</v>
      </c>
      <c r="AN171" s="905">
        <f>INDEX(G171:R171,1,MATCH(Parametres!$B$3,G$1:R$1,0))*IF(OR(F171="L",F171="S",F171="I"),-1,1)</f>
        <v>614.26</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1147</v>
      </c>
      <c r="B172" s="706">
        <v>2025</v>
      </c>
      <c r="C172" s="706" t="s">
        <v>1517</v>
      </c>
      <c r="D172" s="706" t="s">
        <v>1518</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9984.9299999999985</v>
      </c>
      <c r="S172" s="706">
        <v>1053.8599999999999</v>
      </c>
      <c r="T172" s="706">
        <v>1053.8599999999999</v>
      </c>
      <c r="U172" s="706">
        <v>563.38</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11592.43</v>
      </c>
      <c r="AM172" s="905">
        <f t="shared" si="14"/>
        <v>-1607.5000000000018</v>
      </c>
      <c r="AN172" s="905">
        <f>INDEX(G172:R172,1,MATCH(Parametres!$B$3,G$1:R$1,0))*IF(OR(F172="L",F172="S",F172="I"),-1,1)</f>
        <v>9984.9299999999985</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1147</v>
      </c>
      <c r="B173" s="706">
        <v>2025</v>
      </c>
      <c r="C173" s="706" t="s">
        <v>1519</v>
      </c>
      <c r="D173" s="706" t="s">
        <v>1520</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1147</v>
      </c>
      <c r="B174" s="706">
        <v>2025</v>
      </c>
      <c r="C174" s="706" t="s">
        <v>1521</v>
      </c>
      <c r="D174" s="706" t="s">
        <v>1522</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10903.369999999999</v>
      </c>
      <c r="S174" s="706">
        <v>1137.3499999999999</v>
      </c>
      <c r="T174" s="706">
        <v>1137.3499999999999</v>
      </c>
      <c r="U174" s="706">
        <v>563.38</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12510.84</v>
      </c>
      <c r="AM174" s="905">
        <f t="shared" si="14"/>
        <v>-1607.4700000000012</v>
      </c>
      <c r="AN174" s="905">
        <f>INDEX(G174:R174,1,MATCH(Parametres!$B$3,G$1:R$1,0))*IF(OR(F174="L",F174="S",F174="I"),-1,1)</f>
        <v>10903.369999999999</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1147</v>
      </c>
      <c r="B175" s="706">
        <v>2025</v>
      </c>
      <c r="C175" s="706" t="s">
        <v>1523</v>
      </c>
      <c r="D175" s="706" t="s">
        <v>1524</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1147</v>
      </c>
      <c r="B176" s="706">
        <v>2025</v>
      </c>
      <c r="C176" s="706" t="s">
        <v>1525</v>
      </c>
      <c r="D176" s="706" t="s">
        <v>1526</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1147</v>
      </c>
      <c r="B177" s="706">
        <v>2025</v>
      </c>
      <c r="C177" s="706" t="s">
        <v>1527</v>
      </c>
      <c r="D177" s="706" t="s">
        <v>1528</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18094.13</v>
      </c>
      <c r="AM177" s="905">
        <f t="shared" si="14"/>
        <v>1674.9300000000003</v>
      </c>
      <c r="AN177" s="905">
        <f>INDEX(G177:R177,1,MATCH(Parametres!$B$3,G$1:R$1,0))*IF(OR(F177="L",F177="S",F177="I"),-1,1)</f>
        <v>19769.060000000001</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1147</v>
      </c>
      <c r="B178" s="706">
        <v>2025</v>
      </c>
      <c r="C178" s="706" t="s">
        <v>1529</v>
      </c>
      <c r="D178" s="706" t="s">
        <v>1530</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20239.61</v>
      </c>
      <c r="AM178" s="905">
        <f t="shared" si="14"/>
        <v>1392.1499999999978</v>
      </c>
      <c r="AN178" s="905">
        <f>INDEX(G178:R178,1,MATCH(Parametres!$B$3,G$1:R$1,0))*IF(OR(F178="L",F178="S",F178="I"),-1,1)</f>
        <v>21631.759999999998</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1147</v>
      </c>
      <c r="B179" s="706">
        <v>2025</v>
      </c>
      <c r="C179" s="706" t="s">
        <v>1531</v>
      </c>
      <c r="D179" s="706" t="s">
        <v>1532</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8673.2800000000007</v>
      </c>
      <c r="AM179" s="905">
        <f t="shared" si="14"/>
        <v>959.77999999999884</v>
      </c>
      <c r="AN179" s="905">
        <f>INDEX(G179:R179,1,MATCH(Parametres!$B$3,G$1:R$1,0))*IF(OR(F179="L",F179="S",F179="I"),-1,1)</f>
        <v>9633.06</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1147</v>
      </c>
      <c r="B180" s="706">
        <v>2025</v>
      </c>
      <c r="C180" s="706" t="s">
        <v>1533</v>
      </c>
      <c r="D180" s="706" t="s">
        <v>1534</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15384.56</v>
      </c>
      <c r="AM180" s="905">
        <f t="shared" si="14"/>
        <v>1256.0200000000023</v>
      </c>
      <c r="AN180" s="905">
        <f>INDEX(G180:R180,1,MATCH(Parametres!$B$3,G$1:R$1,0))*IF(OR(F180="L",F180="S",F180="I"),-1,1)</f>
        <v>16640.580000000002</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1147</v>
      </c>
      <c r="B181" s="706">
        <v>2025</v>
      </c>
      <c r="C181" s="706" t="s">
        <v>1537</v>
      </c>
      <c r="D181" s="706" t="s">
        <v>1538</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10620.22</v>
      </c>
      <c r="AM181" s="905">
        <f t="shared" si="14"/>
        <v>997.03000000000065</v>
      </c>
      <c r="AN181" s="905">
        <f>INDEX(G181:R181,1,MATCH(Parametres!$B$3,G$1:R$1,0))*IF(OR(F181="L",F181="S",F181="I"),-1,1)</f>
        <v>11617.25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1147</v>
      </c>
      <c r="B182" s="706">
        <v>2025</v>
      </c>
      <c r="C182" s="706" t="s">
        <v>1539</v>
      </c>
      <c r="D182" s="706" t="s">
        <v>1540</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1147</v>
      </c>
      <c r="B183" s="706">
        <v>2025</v>
      </c>
      <c r="C183" s="706" t="s">
        <v>1541</v>
      </c>
      <c r="D183" s="706" t="s">
        <v>1542</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11143.330000000002</v>
      </c>
      <c r="S183" s="706">
        <v>1253.03</v>
      </c>
      <c r="T183" s="706">
        <v>1253.03</v>
      </c>
      <c r="U183" s="706">
        <v>-5640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13783.33</v>
      </c>
      <c r="AM183" s="905">
        <f t="shared" si="14"/>
        <v>-2639.9999999999982</v>
      </c>
      <c r="AN183" s="905">
        <f>INDEX(G183:R183,1,MATCH(Parametres!$B$3,G$1:R$1,0))*IF(OR(F183="L",F183="S",F183="I"),-1,1)</f>
        <v>11143.330000000002</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1147</v>
      </c>
      <c r="B184" s="706">
        <v>2025</v>
      </c>
      <c r="C184" s="706" t="s">
        <v>1543</v>
      </c>
      <c r="D184" s="706" t="s">
        <v>1544</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7345.5499999999993</v>
      </c>
      <c r="S184" s="706">
        <v>827.78</v>
      </c>
      <c r="T184" s="706">
        <v>827.78</v>
      </c>
      <c r="U184" s="706">
        <v>-3760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9105.5499999999993</v>
      </c>
      <c r="AM184" s="905">
        <f t="shared" si="14"/>
        <v>-1760</v>
      </c>
      <c r="AN184" s="905">
        <f>INDEX(G184:R184,1,MATCH(Parametres!$B$3,G$1:R$1,0))*IF(OR(F184="L",F184="S",F184="I"),-1,1)</f>
        <v>7345.5499999999993</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1147</v>
      </c>
      <c r="B185" s="706">
        <v>2025</v>
      </c>
      <c r="C185" s="706" t="s">
        <v>1545</v>
      </c>
      <c r="D185" s="706" t="s">
        <v>1546</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1147</v>
      </c>
      <c r="B186" s="706">
        <v>2025</v>
      </c>
      <c r="C186" s="706" t="s">
        <v>1547</v>
      </c>
      <c r="D186" s="706" t="s">
        <v>1548</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11754.68</v>
      </c>
      <c r="S186" s="706">
        <v>1308.6099999999999</v>
      </c>
      <c r="T186" s="706">
        <v>1308.6099999999999</v>
      </c>
      <c r="U186" s="706">
        <v>-5640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14394.68</v>
      </c>
      <c r="AM186" s="905">
        <f t="shared" si="14"/>
        <v>-2640</v>
      </c>
      <c r="AN186" s="905">
        <f>INDEX(G186:R186,1,MATCH(Parametres!$B$3,G$1:R$1,0))*IF(OR(F186="L",F186="S",F186="I"),-1,1)</f>
        <v>11754.68</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1147</v>
      </c>
      <c r="B187" s="706">
        <v>2025</v>
      </c>
      <c r="C187" s="706" t="s">
        <v>1549</v>
      </c>
      <c r="D187" s="706" t="s">
        <v>1550</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4682.2</v>
      </c>
      <c r="S187" s="706">
        <v>505.65</v>
      </c>
      <c r="T187" s="706">
        <v>505.65</v>
      </c>
      <c r="U187" s="706">
        <v>-1880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5562.2</v>
      </c>
      <c r="AM187" s="905">
        <f t="shared" si="14"/>
        <v>-880</v>
      </c>
      <c r="AN187" s="905">
        <f>INDEX(G187:R187,1,MATCH(Parametres!$B$3,G$1:R$1,0))*IF(OR(F187="L",F187="S",F187="I"),-1,1)</f>
        <v>4682.2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1147</v>
      </c>
      <c r="B188" s="706">
        <v>2025</v>
      </c>
      <c r="C188" s="706" t="s">
        <v>1551</v>
      </c>
      <c r="D188" s="706" t="s">
        <v>1552</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4177.47</v>
      </c>
      <c r="S188" s="706">
        <v>459.77</v>
      </c>
      <c r="T188" s="706">
        <v>459.77</v>
      </c>
      <c r="U188" s="706">
        <v>-1880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5057.47</v>
      </c>
      <c r="AM188" s="905">
        <f t="shared" si="14"/>
        <v>-880</v>
      </c>
      <c r="AN188" s="905">
        <f>INDEX(G188:R188,1,MATCH(Parametres!$B$3,G$1:R$1,0))*IF(OR(F188="L",F188="S",F188="I"),-1,1)</f>
        <v>4177.47</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1147</v>
      </c>
      <c r="B189" s="706">
        <v>2025</v>
      </c>
      <c r="C189" s="706" t="s">
        <v>1553</v>
      </c>
      <c r="D189" s="706" t="s">
        <v>1554</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1147</v>
      </c>
      <c r="B190" s="706">
        <v>2025</v>
      </c>
      <c r="C190" s="706" t="s">
        <v>1555</v>
      </c>
      <c r="D190" s="706" t="s">
        <v>1556</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9761.01</v>
      </c>
      <c r="AM190" s="905">
        <f t="shared" si="14"/>
        <v>312.31999999999971</v>
      </c>
      <c r="AN190" s="905">
        <f>INDEX(G190:R190,1,MATCH(Parametres!$B$3,G$1:R$1,0))*IF(OR(F190="L",F190="S",F190="I"),-1,1)</f>
        <v>10073.33</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1147</v>
      </c>
      <c r="B191" s="706">
        <v>2025</v>
      </c>
      <c r="C191" s="706" t="s">
        <v>1557</v>
      </c>
      <c r="D191" s="706" t="s">
        <v>1558</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6235.68</v>
      </c>
      <c r="AM191" s="905">
        <f t="shared" si="14"/>
        <v>208.21999999999935</v>
      </c>
      <c r="AN191" s="905">
        <f>INDEX(G191:R191,1,MATCH(Parametres!$B$3,G$1:R$1,0))*IF(OR(F191="L",F191="S",F191="I"),-1,1)</f>
        <v>6443.9</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1147</v>
      </c>
      <c r="B192" s="706">
        <v>2025</v>
      </c>
      <c r="C192" s="706" t="s">
        <v>1559</v>
      </c>
      <c r="D192" s="706" t="s">
        <v>1560</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1147</v>
      </c>
      <c r="B193" s="706">
        <v>2025</v>
      </c>
      <c r="C193" s="706" t="s">
        <v>1561</v>
      </c>
      <c r="D193" s="706" t="s">
        <v>1562</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10510.92</v>
      </c>
      <c r="AM193" s="905">
        <f t="shared" si="14"/>
        <v>339.81999999999971</v>
      </c>
      <c r="AN193" s="905">
        <f>INDEX(G193:R193,1,MATCH(Parametres!$B$3,G$1:R$1,0))*IF(OR(F193="L",F193="S",F193="I"),-1,1)</f>
        <v>10850.74</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1147</v>
      </c>
      <c r="B194" s="706">
        <v>2025</v>
      </c>
      <c r="C194" s="706" t="s">
        <v>1563</v>
      </c>
      <c r="D194" s="706" t="s">
        <v>1564</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3117.86</v>
      </c>
      <c r="AM194" s="905">
        <f t="shared" si="14"/>
        <v>104.09999999999991</v>
      </c>
      <c r="AN194" s="905">
        <f>INDEX(G194:R194,1,MATCH(Parametres!$B$3,G$1:R$1,0))*IF(OR(F194="L",F194="S",F194="I"),-1,1)</f>
        <v>3221.96</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1147</v>
      </c>
      <c r="B195" s="706">
        <v>2025</v>
      </c>
      <c r="C195" s="706" t="s">
        <v>1565</v>
      </c>
      <c r="D195" s="706" t="s">
        <v>1566</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3187.77</v>
      </c>
      <c r="AM195" s="905">
        <f t="shared" si="14"/>
        <v>104.15999999999985</v>
      </c>
      <c r="AN195" s="905">
        <f>INDEX(G195:R195,1,MATCH(Parametres!$B$3,G$1:R$1,0))*IF(OR(F195="L",F195="S",F195="I"),-1,1)</f>
        <v>3291.93</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1147</v>
      </c>
      <c r="B196" s="706">
        <v>2025</v>
      </c>
      <c r="C196" s="706" t="s">
        <v>1567</v>
      </c>
      <c r="D196" s="706" t="s">
        <v>1568</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1147</v>
      </c>
      <c r="B197" s="706">
        <v>2025</v>
      </c>
      <c r="C197" s="706" t="s">
        <v>1569</v>
      </c>
      <c r="D197" s="706" t="s">
        <v>1570</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8041.03</v>
      </c>
      <c r="AM197" s="905">
        <f t="shared" si="20"/>
        <v>760.00000000000091</v>
      </c>
      <c r="AN197" s="905">
        <f>INDEX(G197:R197,1,MATCH(Parametres!$B$3,G$1:R$1,0))*IF(OR(F197="L",F197="S",F197="I"),-1,1)</f>
        <v>8801.0300000000007</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1147</v>
      </c>
      <c r="B198" s="706">
        <v>2025</v>
      </c>
      <c r="C198" s="706" t="s">
        <v>1571</v>
      </c>
      <c r="D198" s="706" t="s">
        <v>1572</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1147</v>
      </c>
      <c r="B199" s="706">
        <v>2025</v>
      </c>
      <c r="C199" s="706" t="s">
        <v>1573</v>
      </c>
      <c r="D199" s="706" t="s">
        <v>1574</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1147</v>
      </c>
      <c r="B200" s="706">
        <v>2025</v>
      </c>
      <c r="C200" s="706" t="s">
        <v>1575</v>
      </c>
      <c r="D200" s="706" t="s">
        <v>1576</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31330.240000000002</v>
      </c>
      <c r="AM200" s="905">
        <f t="shared" si="20"/>
        <v>2351.7999999999993</v>
      </c>
      <c r="AN200" s="905">
        <f>INDEX(G200:R200,1,MATCH(Parametres!$B$3,G$1:R$1,0))*IF(OR(F200="L",F200="S",F200="I"),-1,1)</f>
        <v>33682.04</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1147</v>
      </c>
      <c r="B201" s="706">
        <v>2025</v>
      </c>
      <c r="C201" s="706" t="s">
        <v>1577</v>
      </c>
      <c r="D201" s="706" t="s">
        <v>1578</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3456.85</v>
      </c>
      <c r="AM201" s="905">
        <f t="shared" si="20"/>
        <v>0</v>
      </c>
      <c r="AN201" s="905">
        <f>INDEX(G201:R201,1,MATCH(Parametres!$B$3,G$1:R$1,0))*IF(OR(F201="L",F201="S",F201="I"),-1,1)</f>
        <v>3456.85</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1147</v>
      </c>
      <c r="B202" s="706">
        <v>2025</v>
      </c>
      <c r="C202" s="706" t="s">
        <v>1579</v>
      </c>
      <c r="D202" s="706" t="s">
        <v>1580</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6018.5</v>
      </c>
      <c r="AM202" s="905">
        <f t="shared" si="20"/>
        <v>0</v>
      </c>
      <c r="AN202" s="905">
        <f>INDEX(G202:R202,1,MATCH(Parametres!$B$3,G$1:R$1,0))*IF(OR(F202="L",F202="S",F202="I"),-1,1)</f>
        <v>6018.5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1147</v>
      </c>
      <c r="B203" s="706">
        <v>2025</v>
      </c>
      <c r="C203" s="706" t="s">
        <v>1581</v>
      </c>
      <c r="D203" s="706" t="s">
        <v>1582</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1147</v>
      </c>
      <c r="B204" s="706">
        <v>2025</v>
      </c>
      <c r="C204" s="706" t="s">
        <v>1583</v>
      </c>
      <c r="D204" s="706" t="s">
        <v>1584</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920305.48</v>
      </c>
      <c r="AM204" s="905">
        <f t="shared" si="20"/>
        <v>88836.37</v>
      </c>
      <c r="AN204" s="905">
        <f>INDEX(G204:R204,1,MATCH(Parametres!$B$3,G$1:R$1,0))*IF(OR(F204="L",F204="S",F204="I"),-1,1)</f>
        <v>1009141.85</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1147</v>
      </c>
      <c r="B205" s="706">
        <v>2025</v>
      </c>
      <c r="C205" s="706" t="s">
        <v>1585</v>
      </c>
      <c r="D205" s="706" t="s">
        <v>1586</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231168.11</v>
      </c>
      <c r="AM205" s="905">
        <f t="shared" si="20"/>
        <v>36382.890000000014</v>
      </c>
      <c r="AN205" s="905">
        <f>INDEX(G205:R205,1,MATCH(Parametres!$B$3,G$1:R$1,0))*IF(OR(F205="L",F205="S",F205="I"),-1,1)</f>
        <v>267551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1147</v>
      </c>
      <c r="B206" s="706">
        <v>2025</v>
      </c>
      <c r="C206" s="706" t="s">
        <v>1587</v>
      </c>
      <c r="D206" s="706" t="s">
        <v>1588</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163994.01</v>
      </c>
      <c r="AM206" s="905">
        <f t="shared" si="20"/>
        <v>13156.959999999992</v>
      </c>
      <c r="AN206" s="905">
        <f>INDEX(G206:R206,1,MATCH(Parametres!$B$3,G$1:R$1,0))*IF(OR(F206="L",F206="S",F206="I"),-1,1)</f>
        <v>177150.97</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1147</v>
      </c>
      <c r="B207" s="706">
        <v>2025</v>
      </c>
      <c r="C207" s="706" t="s">
        <v>1589</v>
      </c>
      <c r="D207" s="706" t="s">
        <v>1590</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316.01</v>
      </c>
      <c r="AM207" s="905">
        <f t="shared" si="20"/>
        <v>0</v>
      </c>
      <c r="AN207" s="905">
        <f>INDEX(G207:R207,1,MATCH(Parametres!$B$3,G$1:R$1,0))*IF(OR(F207="L",F207="S",F207="I"),-1,1)</f>
        <v>316.01</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1147</v>
      </c>
      <c r="B208" s="706">
        <v>2025</v>
      </c>
      <c r="C208" s="706" t="s">
        <v>1591</v>
      </c>
      <c r="D208" s="706" t="s">
        <v>1592</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1147</v>
      </c>
      <c r="B209" s="706">
        <v>2025</v>
      </c>
      <c r="C209" s="706" t="s">
        <v>1593</v>
      </c>
      <c r="D209" s="706" t="s">
        <v>1594</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1147</v>
      </c>
      <c r="B210" s="706">
        <v>2025</v>
      </c>
      <c r="C210" s="706" t="s">
        <v>1595</v>
      </c>
      <c r="D210" s="706" t="s">
        <v>1596</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18857.97</v>
      </c>
      <c r="S210" s="706">
        <v>1434.37</v>
      </c>
      <c r="T210" s="706">
        <v>1434.37</v>
      </c>
      <c r="U210" s="706">
        <v>2994.18</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15778.09</v>
      </c>
      <c r="AM210" s="905">
        <f t="shared" si="20"/>
        <v>3079.880000000001</v>
      </c>
      <c r="AN210" s="905">
        <f>INDEX(G210:R210,1,MATCH(Parametres!$B$3,G$1:R$1,0))*IF(OR(F210="L",F210="S",F210="I"),-1,1)</f>
        <v>18857.97</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1147</v>
      </c>
      <c r="B211" s="706">
        <v>2025</v>
      </c>
      <c r="C211" s="706" t="s">
        <v>1597</v>
      </c>
      <c r="D211" s="706" t="s">
        <v>1598</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12438.46</v>
      </c>
      <c r="S211" s="706">
        <v>944.11</v>
      </c>
      <c r="T211" s="706">
        <v>944.11</v>
      </c>
      <c r="U211" s="706">
        <v>1996.12</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10385.209999999999</v>
      </c>
      <c r="AM211" s="905">
        <f t="shared" si="20"/>
        <v>2053.25</v>
      </c>
      <c r="AN211" s="905">
        <f>INDEX(G211:R211,1,MATCH(Parametres!$B$3,G$1:R$1,0))*IF(OR(F211="L",F211="S",F211="I"),-1,1)</f>
        <v>12438.46</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1147</v>
      </c>
      <c r="B212" s="706">
        <v>2025</v>
      </c>
      <c r="C212" s="706" t="s">
        <v>1599</v>
      </c>
      <c r="D212" s="706" t="s">
        <v>1600</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1147</v>
      </c>
      <c r="B213" s="706">
        <v>2025</v>
      </c>
      <c r="C213" s="706" t="s">
        <v>1601</v>
      </c>
      <c r="D213" s="706" t="s">
        <v>1602</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6290.6299999999992</v>
      </c>
      <c r="S213" s="706">
        <v>291.89</v>
      </c>
      <c r="T213" s="706">
        <v>291.89</v>
      </c>
      <c r="U213" s="706">
        <v>2994.18</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3210.75</v>
      </c>
      <c r="AM213" s="905">
        <f t="shared" si="20"/>
        <v>3079.8799999999992</v>
      </c>
      <c r="AN213" s="905">
        <f>INDEX(G213:R213,1,MATCH(Parametres!$B$3,G$1:R$1,0))*IF(OR(F213="L",F213="S",F213="I"),-1,1)</f>
        <v>6290.6299999999992</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1147</v>
      </c>
      <c r="B214" s="706">
        <v>2025</v>
      </c>
      <c r="C214" s="706" t="s">
        <v>1603</v>
      </c>
      <c r="D214" s="706" t="s">
        <v>1604</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6289.27</v>
      </c>
      <c r="S214" s="706">
        <v>478.42</v>
      </c>
      <c r="T214" s="706">
        <v>478.42</v>
      </c>
      <c r="U214" s="706">
        <v>998.06</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5262.64</v>
      </c>
      <c r="AM214" s="905">
        <f t="shared" si="20"/>
        <v>1026.6300000000001</v>
      </c>
      <c r="AN214" s="905">
        <f>INDEX(G214:R214,1,MATCH(Parametres!$B$3,G$1:R$1,0))*IF(OR(F214="L",F214="S",F214="I"),-1,1)</f>
        <v>6289.27</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1147</v>
      </c>
      <c r="B215" s="706">
        <v>2025</v>
      </c>
      <c r="C215" s="706" t="s">
        <v>1605</v>
      </c>
      <c r="D215" s="706" t="s">
        <v>1606</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6219.17</v>
      </c>
      <c r="S215" s="706">
        <v>472.05</v>
      </c>
      <c r="T215" s="706">
        <v>472.05</v>
      </c>
      <c r="U215" s="706">
        <v>998.06</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5192.55</v>
      </c>
      <c r="AM215" s="905">
        <f t="shared" si="20"/>
        <v>1026.6199999999999</v>
      </c>
      <c r="AN215" s="905">
        <f>INDEX(G215:R215,1,MATCH(Parametres!$B$3,G$1:R$1,0))*IF(OR(F215="L",F215="S",F215="I"),-1,1)</f>
        <v>6219.17</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1147</v>
      </c>
      <c r="B216" s="706">
        <v>2025</v>
      </c>
      <c r="C216" s="706" t="s">
        <v>1607</v>
      </c>
      <c r="D216" s="706" t="s">
        <v>3100</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1147</v>
      </c>
      <c r="B217" s="706">
        <v>2025</v>
      </c>
      <c r="C217" s="706" t="s">
        <v>1609</v>
      </c>
      <c r="D217" s="706" t="s">
        <v>1610</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1147</v>
      </c>
      <c r="B218" s="706">
        <v>2025</v>
      </c>
      <c r="C218" s="706" t="s">
        <v>1611</v>
      </c>
      <c r="D218" s="706" t="s">
        <v>1366</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1147</v>
      </c>
      <c r="B219" s="706">
        <v>2025</v>
      </c>
      <c r="C219" s="706" t="s">
        <v>1612</v>
      </c>
      <c r="D219" s="706" t="s">
        <v>1613</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-2886229.22</v>
      </c>
      <c r="AM219" s="905">
        <f t="shared" si="20"/>
        <v>-237479.96999999974</v>
      </c>
      <c r="AN219" s="905">
        <f>INDEX(G219:R219,1,MATCH(Parametres!$B$3,G$1:R$1,0))*IF(OR(F219="L",F219="S",F219="I"),-1,1)</f>
        <v>-3123709.19</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1147</v>
      </c>
      <c r="B220" s="706">
        <v>2025</v>
      </c>
      <c r="C220" s="706" t="s">
        <v>1614</v>
      </c>
      <c r="D220" s="706" t="s">
        <v>1615</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1147</v>
      </c>
      <c r="B221" s="706">
        <v>2025</v>
      </c>
      <c r="C221" s="706" t="s">
        <v>1616</v>
      </c>
      <c r="D221" s="706" t="s">
        <v>1617</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1147</v>
      </c>
      <c r="B222" s="706">
        <v>2025</v>
      </c>
      <c r="C222" s="706" t="s">
        <v>1618</v>
      </c>
      <c r="D222" s="706" t="s">
        <v>1619</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1147</v>
      </c>
      <c r="B223" s="706">
        <v>2025</v>
      </c>
      <c r="C223" s="706" t="s">
        <v>1620</v>
      </c>
      <c r="D223" s="706" t="s">
        <v>1621</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1147</v>
      </c>
      <c r="B224" s="706">
        <v>2025</v>
      </c>
      <c r="C224" s="706" t="s">
        <v>1622</v>
      </c>
      <c r="D224" s="706" t="s">
        <v>1623</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1147</v>
      </c>
      <c r="B225" s="706">
        <v>2025</v>
      </c>
      <c r="C225" s="706" t="s">
        <v>1624</v>
      </c>
      <c r="D225" s="706" t="s">
        <v>1625</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1147</v>
      </c>
      <c r="B226" s="706">
        <v>2025</v>
      </c>
      <c r="C226" s="706" t="s">
        <v>1626</v>
      </c>
      <c r="D226" s="706" t="s">
        <v>1625</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1147</v>
      </c>
      <c r="B227" s="706">
        <v>2025</v>
      </c>
      <c r="C227" s="706" t="s">
        <v>1627</v>
      </c>
      <c r="D227" s="706" t="s">
        <v>1628</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1147</v>
      </c>
      <c r="B228" s="706">
        <v>2025</v>
      </c>
      <c r="C228" s="706" t="s">
        <v>1629</v>
      </c>
      <c r="D228" s="706" t="s">
        <v>1630</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1147</v>
      </c>
      <c r="B229" s="706">
        <v>2025</v>
      </c>
      <c r="C229" s="706" t="s">
        <v>1631</v>
      </c>
      <c r="D229" s="706" t="s">
        <v>1632</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232750</v>
      </c>
      <c r="AM229" s="905">
        <f t="shared" si="20"/>
        <v>21000</v>
      </c>
      <c r="AN229" s="905">
        <f>INDEX(G229:R229,1,MATCH(Parametres!$B$3,G$1:R$1,0))*IF(OR(F229="L",F229="S",F229="I"),-1,1)</f>
        <v>253750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1147</v>
      </c>
      <c r="B230" s="706">
        <v>2025</v>
      </c>
      <c r="C230" s="706" t="s">
        <v>1633</v>
      </c>
      <c r="D230" s="706" t="s">
        <v>1634</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153500</v>
      </c>
      <c r="AM230" s="905">
        <f t="shared" si="20"/>
        <v>14000</v>
      </c>
      <c r="AN230" s="905">
        <f>INDEX(G230:R230,1,MATCH(Parametres!$B$3,G$1:R$1,0))*IF(OR(F230="L",F230="S",F230="I"),-1,1)</f>
        <v>167500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1147</v>
      </c>
      <c r="B231" s="706">
        <v>2025</v>
      </c>
      <c r="C231" s="706" t="s">
        <v>1635</v>
      </c>
      <c r="D231" s="706" t="s">
        <v>1636</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1147</v>
      </c>
      <c r="B232" s="706">
        <v>2025</v>
      </c>
      <c r="C232" s="706" t="s">
        <v>1637</v>
      </c>
      <c r="D232" s="706" t="s">
        <v>1638</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230250</v>
      </c>
      <c r="AM232" s="905">
        <f t="shared" si="20"/>
        <v>21000</v>
      </c>
      <c r="AN232" s="905">
        <f>INDEX(G232:R232,1,MATCH(Parametres!$B$3,G$1:R$1,0))*IF(OR(F232="L",F232="S",F232="I"),-1,1)</f>
        <v>251250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1147</v>
      </c>
      <c r="B233" s="706">
        <v>2025</v>
      </c>
      <c r="C233" s="706" t="s">
        <v>1639</v>
      </c>
      <c r="D233" s="706" t="s">
        <v>1640</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76750</v>
      </c>
      <c r="AM233" s="905">
        <f t="shared" si="20"/>
        <v>7000</v>
      </c>
      <c r="AN233" s="905">
        <f>INDEX(G233:R233,1,MATCH(Parametres!$B$3,G$1:R$1,0))*IF(OR(F233="L",F233="S",F233="I"),-1,1)</f>
        <v>83750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1147</v>
      </c>
      <c r="B234" s="706">
        <v>2025</v>
      </c>
      <c r="C234" s="706" t="s">
        <v>1641</v>
      </c>
      <c r="D234" s="706" t="s">
        <v>1642</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76750</v>
      </c>
      <c r="AM234" s="905">
        <f t="shared" si="20"/>
        <v>7000</v>
      </c>
      <c r="AN234" s="905">
        <f>INDEX(G234:R234,1,MATCH(Parametres!$B$3,G$1:R$1,0))*IF(OR(F234="L",F234="S",F234="I"),-1,1)</f>
        <v>83750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1147</v>
      </c>
      <c r="B235" s="706">
        <v>2025</v>
      </c>
      <c r="C235" s="706" t="s">
        <v>1643</v>
      </c>
      <c r="D235" s="706" t="s">
        <v>1644</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1147</v>
      </c>
      <c r="B236" s="706">
        <v>2025</v>
      </c>
      <c r="C236" s="706" t="s">
        <v>1645</v>
      </c>
      <c r="D236" s="706" t="s">
        <v>1646</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144348.59</v>
      </c>
      <c r="S236" s="706">
        <v>13556.61</v>
      </c>
      <c r="T236" s="706">
        <v>13556.61</v>
      </c>
      <c r="U236" s="706">
        <v>-12072.38</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149122.72</v>
      </c>
      <c r="AM236" s="905">
        <f t="shared" si="20"/>
        <v>-4774.1300000000047</v>
      </c>
      <c r="AN236" s="905">
        <f>INDEX(G236:R236,1,MATCH(Parametres!$B$3,G$1:R$1,0))*IF(OR(F236="L",F236="S",F236="I"),-1,1)</f>
        <v>144348.59</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1147</v>
      </c>
      <c r="B237" s="706">
        <v>2025</v>
      </c>
      <c r="C237" s="706" t="s">
        <v>1647</v>
      </c>
      <c r="D237" s="706" t="s">
        <v>1648</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87515.71</v>
      </c>
      <c r="S237" s="706">
        <v>8245.31</v>
      </c>
      <c r="T237" s="706">
        <v>8245.31</v>
      </c>
      <c r="U237" s="706">
        <v>-8048.25</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90698.46</v>
      </c>
      <c r="AM237" s="905">
        <f t="shared" si="20"/>
        <v>-3182.75</v>
      </c>
      <c r="AN237" s="905">
        <f>INDEX(G237:R237,1,MATCH(Parametres!$B$3,G$1:R$1,0))*IF(OR(F237="L",F237="S",F237="I"),-1,1)</f>
        <v>87515.71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1147</v>
      </c>
      <c r="B238" s="706">
        <v>2025</v>
      </c>
      <c r="C238" s="706" t="s">
        <v>1649</v>
      </c>
      <c r="D238" s="706" t="s">
        <v>1650</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1147</v>
      </c>
      <c r="B239" s="706">
        <v>2025</v>
      </c>
      <c r="C239" s="706" t="s">
        <v>1651</v>
      </c>
      <c r="D239" s="706" t="s">
        <v>1652</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141848.59</v>
      </c>
      <c r="S239" s="706">
        <v>13329.34</v>
      </c>
      <c r="T239" s="706">
        <v>13329.34</v>
      </c>
      <c r="U239" s="706">
        <v>-12072.38</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146622.72</v>
      </c>
      <c r="AM239" s="905">
        <f t="shared" si="20"/>
        <v>-4774.1300000000047</v>
      </c>
      <c r="AN239" s="905">
        <f>INDEX(G239:R239,1,MATCH(Parametres!$B$3,G$1:R$1,0))*IF(OR(F239="L",F239="S",F239="I"),-1,1)</f>
        <v>141848.59</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1147</v>
      </c>
      <c r="B240" s="706">
        <v>2025</v>
      </c>
      <c r="C240" s="706" t="s">
        <v>1653</v>
      </c>
      <c r="D240" s="706" t="s">
        <v>1654</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47282.880000000005</v>
      </c>
      <c r="S240" s="706">
        <v>4443.1099999999997</v>
      </c>
      <c r="T240" s="706">
        <v>4443.1099999999997</v>
      </c>
      <c r="U240" s="706">
        <v>-4024.13</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48874.26</v>
      </c>
      <c r="AM240" s="905">
        <f t="shared" si="20"/>
        <v>-1591.3799999999974</v>
      </c>
      <c r="AN240" s="905">
        <f>INDEX(G240:R240,1,MATCH(Parametres!$B$3,G$1:R$1,0))*IF(OR(F240="L",F240="S",F240="I"),-1,1)</f>
        <v>47282.880000000005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1147</v>
      </c>
      <c r="B241" s="706">
        <v>2025</v>
      </c>
      <c r="C241" s="706" t="s">
        <v>1655</v>
      </c>
      <c r="D241" s="706" t="s">
        <v>1656</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47282.77</v>
      </c>
      <c r="S241" s="706">
        <v>4443.1000000000004</v>
      </c>
      <c r="T241" s="706">
        <v>4443.1000000000004</v>
      </c>
      <c r="U241" s="706">
        <v>-4024.11</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48874.15</v>
      </c>
      <c r="AM241" s="905">
        <f t="shared" si="20"/>
        <v>-1591.3800000000047</v>
      </c>
      <c r="AN241" s="905">
        <f>INDEX(G241:R241,1,MATCH(Parametres!$B$3,G$1:R$1,0))*IF(OR(F241="L",F241="S",F241="I"),-1,1)</f>
        <v>47282.77</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1147</v>
      </c>
      <c r="B242" s="706">
        <v>2025</v>
      </c>
      <c r="C242" s="706" t="s">
        <v>1657</v>
      </c>
      <c r="D242" s="706" t="s">
        <v>1658</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1147</v>
      </c>
      <c r="B243" s="706">
        <v>2025</v>
      </c>
      <c r="C243" s="706" t="s">
        <v>1659</v>
      </c>
      <c r="D243" s="706" t="s">
        <v>1660</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33583.94</v>
      </c>
      <c r="S243" s="706">
        <v>2823.23</v>
      </c>
      <c r="T243" s="706">
        <v>2823.23</v>
      </c>
      <c r="U243" s="706">
        <v>1458</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31055.58</v>
      </c>
      <c r="AM243" s="905">
        <f t="shared" si="20"/>
        <v>2528.3600000000006</v>
      </c>
      <c r="AN243" s="905">
        <f>INDEX(G243:R243,1,MATCH(Parametres!$B$3,G$1:R$1,0))*IF(OR(F243="L",F243="S",F243="I"),-1,1)</f>
        <v>33583.94</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1147</v>
      </c>
      <c r="B244" s="706">
        <v>2025</v>
      </c>
      <c r="C244" s="706" t="s">
        <v>1661</v>
      </c>
      <c r="D244" s="706" t="s">
        <v>1662</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22196.15</v>
      </c>
      <c r="S244" s="706">
        <v>1864.6</v>
      </c>
      <c r="T244" s="706">
        <v>1864.6</v>
      </c>
      <c r="U244" s="706">
        <v>972</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20510.580000000002</v>
      </c>
      <c r="AM244" s="905">
        <f t="shared" si="20"/>
        <v>1685.5699999999997</v>
      </c>
      <c r="AN244" s="905">
        <f>INDEX(G244:R244,1,MATCH(Parametres!$B$3,G$1:R$1,0))*IF(OR(F244="L",F244="S",F244="I"),-1,1)</f>
        <v>22196.15</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1147</v>
      </c>
      <c r="B245" s="706">
        <v>2025</v>
      </c>
      <c r="C245" s="706" t="s">
        <v>1663</v>
      </c>
      <c r="D245" s="706" t="s">
        <v>1664</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1147</v>
      </c>
      <c r="B246" s="706">
        <v>2025</v>
      </c>
      <c r="C246" s="706" t="s">
        <v>1665</v>
      </c>
      <c r="D246" s="706" t="s">
        <v>1666</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48871.71</v>
      </c>
      <c r="S246" s="706">
        <v>4104.29</v>
      </c>
      <c r="T246" s="706">
        <v>4104.29</v>
      </c>
      <c r="U246" s="706">
        <v>1458</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45147.17</v>
      </c>
      <c r="AM246" s="905">
        <f t="shared" si="20"/>
        <v>3724.5400000000009</v>
      </c>
      <c r="AN246" s="905">
        <f>INDEX(G246:R246,1,MATCH(Parametres!$B$3,G$1:R$1,0))*IF(OR(F246="L",F246="S",F246="I"),-1,1)</f>
        <v>48871.71</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1147</v>
      </c>
      <c r="B247" s="706">
        <v>2025</v>
      </c>
      <c r="C247" s="706" t="s">
        <v>1667</v>
      </c>
      <c r="D247" s="706" t="s">
        <v>1668</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21635.86</v>
      </c>
      <c r="S247" s="706">
        <v>1813.46</v>
      </c>
      <c r="T247" s="706">
        <v>1813.46</v>
      </c>
      <c r="U247" s="706">
        <v>486</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19948.009999999998</v>
      </c>
      <c r="AM247" s="905">
        <f t="shared" si="20"/>
        <v>1687.8500000000022</v>
      </c>
      <c r="AN247" s="905">
        <f>INDEX(G247:R247,1,MATCH(Parametres!$B$3,G$1:R$1,0))*IF(OR(F247="L",F247="S",F247="I"),-1,1)</f>
        <v>21635.86</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1147</v>
      </c>
      <c r="B248" s="706">
        <v>2025</v>
      </c>
      <c r="C248" s="706" t="s">
        <v>1669</v>
      </c>
      <c r="D248" s="706" t="s">
        <v>1670</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11097.88</v>
      </c>
      <c r="S248" s="706">
        <v>932.28</v>
      </c>
      <c r="T248" s="706">
        <v>932.28</v>
      </c>
      <c r="U248" s="706">
        <v>486</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10255.1</v>
      </c>
      <c r="AM248" s="905">
        <f t="shared" si="20"/>
        <v>842.77999999999884</v>
      </c>
      <c r="AN248" s="905">
        <f>INDEX(G248:R248,1,MATCH(Parametres!$B$3,G$1:R$1,0))*IF(OR(F248="L",F248="S",F248="I"),-1,1)</f>
        <v>11097.88</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1147</v>
      </c>
      <c r="B249" s="706">
        <v>2025</v>
      </c>
      <c r="C249" s="706" t="s">
        <v>1671</v>
      </c>
      <c r="D249" s="706" t="s">
        <v>1672</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1147</v>
      </c>
      <c r="B250" s="706">
        <v>2025</v>
      </c>
      <c r="C250" s="706" t="s">
        <v>1673</v>
      </c>
      <c r="D250" s="706" t="s">
        <v>1674</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4327.41</v>
      </c>
      <c r="S250" s="706">
        <v>42.03</v>
      </c>
      <c r="T250" s="706">
        <v>42.03</v>
      </c>
      <c r="U250" s="706">
        <v>3823.2</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462.29</v>
      </c>
      <c r="AM250" s="905">
        <f t="shared" si="20"/>
        <v>3865.12</v>
      </c>
      <c r="AN250" s="905">
        <f>INDEX(G250:R250,1,MATCH(Parametres!$B$3,G$1:R$1,0))*IF(OR(F250="L",F250="S",F250="I"),-1,1)</f>
        <v>4327.41</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1147</v>
      </c>
      <c r="B251" s="706">
        <v>2025</v>
      </c>
      <c r="C251" s="706" t="s">
        <v>1675</v>
      </c>
      <c r="D251" s="706" t="s">
        <v>1676</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2884.98</v>
      </c>
      <c r="S251" s="706">
        <v>28.02</v>
      </c>
      <c r="T251" s="706">
        <v>28.02</v>
      </c>
      <c r="U251" s="706">
        <v>2548.8000000000002</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308.23</v>
      </c>
      <c r="AM251" s="905">
        <f t="shared" si="20"/>
        <v>2576.75</v>
      </c>
      <c r="AN251" s="905">
        <f>INDEX(G251:R251,1,MATCH(Parametres!$B$3,G$1:R$1,0))*IF(OR(F251="L",F251="S",F251="I"),-1,1)</f>
        <v>2884.98</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1147</v>
      </c>
      <c r="B252" s="706">
        <v>2025</v>
      </c>
      <c r="C252" s="706" t="s">
        <v>1677</v>
      </c>
      <c r="D252" s="706" t="s">
        <v>1678</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4327.41</v>
      </c>
      <c r="S252" s="706">
        <v>42.03</v>
      </c>
      <c r="T252" s="706">
        <v>42.03</v>
      </c>
      <c r="U252" s="706">
        <v>3823.2</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462.29</v>
      </c>
      <c r="AM252" s="905">
        <f t="shared" si="20"/>
        <v>3865.12</v>
      </c>
      <c r="AN252" s="905">
        <f>INDEX(G252:R252,1,MATCH(Parametres!$B$3,G$1:R$1,0))*IF(OR(F252="L",F252="S",F252="I"),-1,1)</f>
        <v>4327.41</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1147</v>
      </c>
      <c r="B253" s="706">
        <v>2025</v>
      </c>
      <c r="C253" s="706" t="s">
        <v>1679</v>
      </c>
      <c r="D253" s="706" t="s">
        <v>1680</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1442.43</v>
      </c>
      <c r="S253" s="706">
        <v>14.01</v>
      </c>
      <c r="T253" s="706">
        <v>14.01</v>
      </c>
      <c r="U253" s="706">
        <v>1274.4000000000001</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154.06</v>
      </c>
      <c r="AM253" s="905">
        <f t="shared" si="20"/>
        <v>1288.3700000000001</v>
      </c>
      <c r="AN253" s="905">
        <f>INDEX(G253:R253,1,MATCH(Parametres!$B$3,G$1:R$1,0))*IF(OR(F253="L",F253="S",F253="I"),-1,1)</f>
        <v>1442.43</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1147</v>
      </c>
      <c r="B254" s="706">
        <v>2025</v>
      </c>
      <c r="C254" s="706" t="s">
        <v>1681</v>
      </c>
      <c r="D254" s="706" t="s">
        <v>1682</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1442.43</v>
      </c>
      <c r="S254" s="706">
        <v>14.01</v>
      </c>
      <c r="T254" s="706">
        <v>14.01</v>
      </c>
      <c r="U254" s="706">
        <v>1274.4000000000001</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154.06</v>
      </c>
      <c r="AM254" s="905">
        <f t="shared" si="20"/>
        <v>1288.3700000000001</v>
      </c>
      <c r="AN254" s="905">
        <f>INDEX(G254:R254,1,MATCH(Parametres!$B$3,G$1:R$1,0))*IF(OR(F254="L",F254="S",F254="I"),-1,1)</f>
        <v>1442.43</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1147</v>
      </c>
      <c r="B255" s="706">
        <v>2025</v>
      </c>
      <c r="C255" s="706" t="s">
        <v>1683</v>
      </c>
      <c r="D255" s="706" t="s">
        <v>1684</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1147</v>
      </c>
      <c r="B256" s="706">
        <v>2025</v>
      </c>
      <c r="C256" s="706" t="s">
        <v>1685</v>
      </c>
      <c r="D256" s="706" t="s">
        <v>1686</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32537.4</v>
      </c>
      <c r="AM256" s="905">
        <f t="shared" si="20"/>
        <v>-3583.260000000002</v>
      </c>
      <c r="AN256" s="905">
        <f>INDEX(G256:R256,1,MATCH(Parametres!$B$3,G$1:R$1,0))*IF(OR(F256="L",F256="S",F256="I"),-1,1)</f>
        <v>28954.14</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1147</v>
      </c>
      <c r="B257" s="706">
        <v>2025</v>
      </c>
      <c r="C257" s="706" t="s">
        <v>1687</v>
      </c>
      <c r="D257" s="706" t="s">
        <v>1688</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21691.599999999999</v>
      </c>
      <c r="AM257" s="905">
        <f t="shared" si="20"/>
        <v>-2388.84</v>
      </c>
      <c r="AN257" s="905">
        <f>INDEX(G257:R257,1,MATCH(Parametres!$B$3,G$1:R$1,0))*IF(OR(F257="L",F257="S",F257="I"),-1,1)</f>
        <v>19302.759999999998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1147</v>
      </c>
      <c r="B258" s="706">
        <v>2025</v>
      </c>
      <c r="C258" s="706" t="s">
        <v>1689</v>
      </c>
      <c r="D258" s="706" t="s">
        <v>1690</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32537.4</v>
      </c>
      <c r="AM258" s="905">
        <f t="shared" si="20"/>
        <v>-3583.260000000002</v>
      </c>
      <c r="AN258" s="905">
        <f>INDEX(G258:R258,1,MATCH(Parametres!$B$3,G$1:R$1,0))*IF(OR(F258="L",F258="S",F258="I"),-1,1)</f>
        <v>28954.14</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1147</v>
      </c>
      <c r="B259" s="706">
        <v>2025</v>
      </c>
      <c r="C259" s="706" t="s">
        <v>1691</v>
      </c>
      <c r="D259" s="706" t="s">
        <v>1692</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10845.8</v>
      </c>
      <c r="AM259" s="905">
        <f t="shared" si="20"/>
        <v>-1194.42</v>
      </c>
      <c r="AN259" s="905">
        <f>INDEX(G259:R259,1,MATCH(Parametres!$B$3,G$1:R$1,0))*IF(OR(F259="L",F259="S",F259="I"),-1,1)</f>
        <v>9651.3799999999992</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1147</v>
      </c>
      <c r="B260" s="706">
        <v>2025</v>
      </c>
      <c r="C260" s="706" t="s">
        <v>1693</v>
      </c>
      <c r="D260" s="706" t="s">
        <v>1694</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10845.8</v>
      </c>
      <c r="AM260" s="905">
        <f t="shared" ref="AM260:AM323" si="26">AN260-AL260</f>
        <v>-1194.42</v>
      </c>
      <c r="AN260" s="905">
        <f>INDEX(G260:R260,1,MATCH(Parametres!$B$3,G$1:R$1,0))*IF(OR(F260="L",F260="S",F260="I"),-1,1)</f>
        <v>9651.3799999999992</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1147</v>
      </c>
      <c r="B261" s="706">
        <v>2025</v>
      </c>
      <c r="C261" s="706" t="s">
        <v>1695</v>
      </c>
      <c r="D261" s="706" t="s">
        <v>1696</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1147</v>
      </c>
      <c r="B262" s="706">
        <v>2025</v>
      </c>
      <c r="C262" s="706" t="s">
        <v>1697</v>
      </c>
      <c r="D262" s="706" t="s">
        <v>1698</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43142.879999999997</v>
      </c>
      <c r="AM262" s="905">
        <f t="shared" si="26"/>
        <v>3922.0800000000017</v>
      </c>
      <c r="AN262" s="905">
        <f>INDEX(G262:R262,1,MATCH(Parametres!$B$3,G$1:R$1,0))*IF(OR(F262="L",F262="S",F262="I"),-1,1)</f>
        <v>47064.959999999999</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1147</v>
      </c>
      <c r="B263" s="706">
        <v>2025</v>
      </c>
      <c r="C263" s="706" t="s">
        <v>1699</v>
      </c>
      <c r="D263" s="706" t="s">
        <v>1700</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28761.919999999998</v>
      </c>
      <c r="AM263" s="905">
        <f t="shared" si="26"/>
        <v>2614.7200000000012</v>
      </c>
      <c r="AN263" s="905">
        <f>INDEX(G263:R263,1,MATCH(Parametres!$B$3,G$1:R$1,0))*IF(OR(F263="L",F263="S",F263="I"),-1,1)</f>
        <v>31376.639999999999</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1147</v>
      </c>
      <c r="B264" s="706">
        <v>2025</v>
      </c>
      <c r="C264" s="706" t="s">
        <v>1701</v>
      </c>
      <c r="D264" s="706" t="s">
        <v>1702</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43142.879999999997</v>
      </c>
      <c r="AM264" s="905">
        <f t="shared" si="26"/>
        <v>3922.0800000000017</v>
      </c>
      <c r="AN264" s="905">
        <f>INDEX(G264:R264,1,MATCH(Parametres!$B$3,G$1:R$1,0))*IF(OR(F264="L",F264="S",F264="I"),-1,1)</f>
        <v>47064.959999999999</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1147</v>
      </c>
      <c r="B265" s="706">
        <v>2025</v>
      </c>
      <c r="C265" s="706" t="s">
        <v>1703</v>
      </c>
      <c r="D265" s="706" t="s">
        <v>1704</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14380.96</v>
      </c>
      <c r="AM265" s="905">
        <f t="shared" si="26"/>
        <v>1307.3600000000006</v>
      </c>
      <c r="AN265" s="905">
        <f>INDEX(G265:R265,1,MATCH(Parametres!$B$3,G$1:R$1,0))*IF(OR(F265="L",F265="S",F265="I"),-1,1)</f>
        <v>15688.32</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1147</v>
      </c>
      <c r="B266" s="706">
        <v>2025</v>
      </c>
      <c r="C266" s="706" t="s">
        <v>1705</v>
      </c>
      <c r="D266" s="706" t="s">
        <v>1706</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14381.07</v>
      </c>
      <c r="AM266" s="905">
        <f t="shared" si="26"/>
        <v>1307.3700000000008</v>
      </c>
      <c r="AN266" s="905">
        <f>INDEX(G266:R266,1,MATCH(Parametres!$B$3,G$1:R$1,0))*IF(OR(F266="L",F266="S",F266="I"),-1,1)</f>
        <v>15688.44</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1147</v>
      </c>
      <c r="B267" s="706">
        <v>2025</v>
      </c>
      <c r="C267" s="706" t="s">
        <v>1707</v>
      </c>
      <c r="D267" s="706" t="s">
        <v>1708</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1147</v>
      </c>
      <c r="B268" s="706">
        <v>2025</v>
      </c>
      <c r="C268" s="706" t="s">
        <v>1709</v>
      </c>
      <c r="D268" s="706" t="s">
        <v>1710</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25988.74</v>
      </c>
      <c r="AM268" s="905">
        <f t="shared" si="26"/>
        <v>3373.3999999999978</v>
      </c>
      <c r="AN268" s="905">
        <f>INDEX(G268:R268,1,MATCH(Parametres!$B$3,G$1:R$1,0))*IF(OR(F268="L",F268="S",F268="I"),-1,1)</f>
        <v>29362.14</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1147</v>
      </c>
      <c r="B269" s="706">
        <v>2025</v>
      </c>
      <c r="C269" s="706" t="s">
        <v>1711</v>
      </c>
      <c r="D269" s="706" t="s">
        <v>1712</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9768.2999999999993</v>
      </c>
      <c r="AM269" s="905">
        <f t="shared" si="26"/>
        <v>1459.9900000000016</v>
      </c>
      <c r="AN269" s="905">
        <f>INDEX(G269:R269,1,MATCH(Parametres!$B$3,G$1:R$1,0))*IF(OR(F269="L",F269="S",F269="I"),-1,1)</f>
        <v>11228.29</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1147</v>
      </c>
      <c r="B270" s="706">
        <v>2025</v>
      </c>
      <c r="C270" s="706" t="s">
        <v>1713</v>
      </c>
      <c r="D270" s="706" t="s">
        <v>1714</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32785.519999999997</v>
      </c>
      <c r="AM270" s="905">
        <f t="shared" si="26"/>
        <v>6313.8600000000006</v>
      </c>
      <c r="AN270" s="905">
        <f>INDEX(G270:R270,1,MATCH(Parametres!$B$3,G$1:R$1,0))*IF(OR(F270="L",F270="S",F270="I"),-1,1)</f>
        <v>39099.379999999997</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1147</v>
      </c>
      <c r="B271" s="706">
        <v>2025</v>
      </c>
      <c r="C271" s="706" t="s">
        <v>1715</v>
      </c>
      <c r="D271" s="706" t="s">
        <v>1716</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24356.75</v>
      </c>
      <c r="AM271" s="905">
        <f t="shared" si="26"/>
        <v>3440.0099999999984</v>
      </c>
      <c r="AN271" s="905">
        <f>INDEX(G271:R271,1,MATCH(Parametres!$B$3,G$1:R$1,0))*IF(OR(F271="L",F271="S",F271="I"),-1,1)</f>
        <v>27796.76</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1147</v>
      </c>
      <c r="B272" s="706">
        <v>2025</v>
      </c>
      <c r="C272" s="706" t="s">
        <v>1717</v>
      </c>
      <c r="D272" s="706" t="s">
        <v>1718</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14235.89</v>
      </c>
      <c r="AM272" s="905">
        <f t="shared" si="26"/>
        <v>1985.1000000000004</v>
      </c>
      <c r="AN272" s="905">
        <f>INDEX(G272:R272,1,MATCH(Parametres!$B$3,G$1:R$1,0))*IF(OR(F272="L",F272="S",F272="I"),-1,1)</f>
        <v>16220.99</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1147</v>
      </c>
      <c r="B273" s="706">
        <v>2025</v>
      </c>
      <c r="C273" s="706" t="s">
        <v>1719</v>
      </c>
      <c r="D273" s="706" t="s">
        <v>1720</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1147</v>
      </c>
      <c r="B274" s="706">
        <v>2025</v>
      </c>
      <c r="C274" s="706" t="s">
        <v>1721</v>
      </c>
      <c r="D274" s="706" t="s">
        <v>1722</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1147</v>
      </c>
      <c r="B275" s="706">
        <v>2025</v>
      </c>
      <c r="C275" s="706" t="s">
        <v>1723</v>
      </c>
      <c r="D275" s="706" t="s">
        <v>1724</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1147</v>
      </c>
      <c r="B276" s="706">
        <v>2025</v>
      </c>
      <c r="C276" s="706" t="s">
        <v>1725</v>
      </c>
      <c r="D276" s="706" t="s">
        <v>1726</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1147</v>
      </c>
      <c r="B277" s="706">
        <v>2025</v>
      </c>
      <c r="C277" s="706" t="s">
        <v>1727</v>
      </c>
      <c r="D277" s="706" t="s">
        <v>1728</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1147</v>
      </c>
      <c r="B278" s="706">
        <v>2025</v>
      </c>
      <c r="C278" s="706" t="s">
        <v>1729</v>
      </c>
      <c r="D278" s="706" t="s">
        <v>1730</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1147</v>
      </c>
      <c r="B279" s="706">
        <v>2025</v>
      </c>
      <c r="C279" s="706" t="s">
        <v>1731</v>
      </c>
      <c r="D279" s="706" t="s">
        <v>1732</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1147</v>
      </c>
      <c r="B280" s="706">
        <v>2025</v>
      </c>
      <c r="C280" s="706" t="s">
        <v>1733</v>
      </c>
      <c r="D280" s="706" t="s">
        <v>1734</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39002.560000000005</v>
      </c>
      <c r="S280" s="706">
        <v>3270.21</v>
      </c>
      <c r="T280" s="706">
        <v>3270.21</v>
      </c>
      <c r="U280" s="706">
        <v>30.3</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35972.26</v>
      </c>
      <c r="AM280" s="905">
        <f t="shared" si="26"/>
        <v>3030.3000000000029</v>
      </c>
      <c r="AN280" s="905">
        <f>INDEX(G280:R280,1,MATCH(Parametres!$B$3,G$1:R$1,0))*IF(OR(F280="L",F280="S",F280="I"),-1,1)</f>
        <v>39002.560000000005</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1147</v>
      </c>
      <c r="B281" s="706">
        <v>2025</v>
      </c>
      <c r="C281" s="706" t="s">
        <v>1735</v>
      </c>
      <c r="D281" s="706" t="s">
        <v>1736</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26001.7</v>
      </c>
      <c r="S281" s="706">
        <v>2180.14</v>
      </c>
      <c r="T281" s="706">
        <v>2180.14</v>
      </c>
      <c r="U281" s="706">
        <v>20.2</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23981.5</v>
      </c>
      <c r="AM281" s="905">
        <f t="shared" si="26"/>
        <v>2020.2000000000007</v>
      </c>
      <c r="AN281" s="905">
        <f>INDEX(G281:R281,1,MATCH(Parametres!$B$3,G$1:R$1,0))*IF(OR(F281="L",F281="S",F281="I"),-1,1)</f>
        <v>26001.7</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1147</v>
      </c>
      <c r="B282" s="706">
        <v>2025</v>
      </c>
      <c r="C282" s="706" t="s">
        <v>1737</v>
      </c>
      <c r="D282" s="706" t="s">
        <v>1738</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1147</v>
      </c>
      <c r="B283" s="706">
        <v>2025</v>
      </c>
      <c r="C283" s="706" t="s">
        <v>1739</v>
      </c>
      <c r="D283" s="706" t="s">
        <v>1740</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39002.560000000005</v>
      </c>
      <c r="S283" s="706">
        <v>3270.21</v>
      </c>
      <c r="T283" s="706">
        <v>3270.21</v>
      </c>
      <c r="U283" s="706">
        <v>30.3</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35972.26</v>
      </c>
      <c r="AM283" s="905">
        <f t="shared" si="26"/>
        <v>3030.3000000000029</v>
      </c>
      <c r="AN283" s="905">
        <f>INDEX(G283:R283,1,MATCH(Parametres!$B$3,G$1:R$1,0))*IF(OR(F283="L",F283="S",F283="I"),-1,1)</f>
        <v>39002.560000000005</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1147</v>
      </c>
      <c r="B284" s="706">
        <v>2025</v>
      </c>
      <c r="C284" s="706" t="s">
        <v>1741</v>
      </c>
      <c r="D284" s="706" t="s">
        <v>1742</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13000.85</v>
      </c>
      <c r="S284" s="706">
        <v>1090.07</v>
      </c>
      <c r="T284" s="706">
        <v>1090.07</v>
      </c>
      <c r="U284" s="706">
        <v>10.1</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11990.75</v>
      </c>
      <c r="AM284" s="905">
        <f t="shared" si="26"/>
        <v>1010.1000000000004</v>
      </c>
      <c r="AN284" s="905">
        <f>INDEX(G284:R284,1,MATCH(Parametres!$B$3,G$1:R$1,0))*IF(OR(F284="L",F284="S",F284="I"),-1,1)</f>
        <v>13000.85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1147</v>
      </c>
      <c r="B285" s="706">
        <v>2025</v>
      </c>
      <c r="C285" s="706" t="s">
        <v>1743</v>
      </c>
      <c r="D285" s="706" t="s">
        <v>1744</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13000.85</v>
      </c>
      <c r="S285" s="706">
        <v>1090.07</v>
      </c>
      <c r="T285" s="706">
        <v>1090.07</v>
      </c>
      <c r="U285" s="706">
        <v>10.1</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11990.75</v>
      </c>
      <c r="AM285" s="905">
        <f t="shared" si="26"/>
        <v>1010.1000000000004</v>
      </c>
      <c r="AN285" s="905">
        <f>INDEX(G285:R285,1,MATCH(Parametres!$B$3,G$1:R$1,0))*IF(OR(F285="L",F285="S",F285="I"),-1,1)</f>
        <v>13000.85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1147</v>
      </c>
      <c r="B286" s="706">
        <v>2025</v>
      </c>
      <c r="C286" s="706" t="s">
        <v>1745</v>
      </c>
      <c r="D286" s="706" t="s">
        <v>1746</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1147</v>
      </c>
      <c r="B287" s="706">
        <v>2025</v>
      </c>
      <c r="C287" s="706" t="s">
        <v>1747</v>
      </c>
      <c r="D287" s="706" t="s">
        <v>1748</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1431.53</v>
      </c>
      <c r="AM287" s="905">
        <f t="shared" si="26"/>
        <v>0</v>
      </c>
      <c r="AN287" s="905">
        <f>INDEX(G287:R287,1,MATCH(Parametres!$B$3,G$1:R$1,0))*IF(OR(F287="L",F287="S",F287="I"),-1,1)</f>
        <v>1431.53</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1147</v>
      </c>
      <c r="B288" s="706">
        <v>2025</v>
      </c>
      <c r="C288" s="706" t="s">
        <v>1749</v>
      </c>
      <c r="D288" s="706" t="s">
        <v>1750</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1147</v>
      </c>
      <c r="B289" s="706">
        <v>2025</v>
      </c>
      <c r="C289" s="706" t="s">
        <v>1751</v>
      </c>
      <c r="D289" s="706" t="s">
        <v>1752</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40914</v>
      </c>
      <c r="AM289" s="905">
        <f t="shared" si="26"/>
        <v>4068.5</v>
      </c>
      <c r="AN289" s="905">
        <f>INDEX(G289:R289,1,MATCH(Parametres!$B$3,G$1:R$1,0))*IF(OR(F289="L",F289="S",F289="I"),-1,1)</f>
        <v>44982.5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1147</v>
      </c>
      <c r="B290" s="706">
        <v>2025</v>
      </c>
      <c r="C290" s="706" t="s">
        <v>1753</v>
      </c>
      <c r="D290" s="706" t="s">
        <v>1754</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29764.07</v>
      </c>
      <c r="AM290" s="905">
        <f t="shared" si="26"/>
        <v>3570.7300000000032</v>
      </c>
      <c r="AN290" s="905">
        <f>INDEX(G290:R290,1,MATCH(Parametres!$B$3,G$1:R$1,0))*IF(OR(F290="L",F290="S",F290="I"),-1,1)</f>
        <v>33334.800000000003</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1147</v>
      </c>
      <c r="B291" s="706">
        <v>2025</v>
      </c>
      <c r="C291" s="706" t="s">
        <v>1755</v>
      </c>
      <c r="D291" s="706" t="s">
        <v>1756</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1851.16</v>
      </c>
      <c r="AM291" s="905">
        <f t="shared" si="26"/>
        <v>0</v>
      </c>
      <c r="AN291" s="905">
        <f>INDEX(G291:R291,1,MATCH(Parametres!$B$3,G$1:R$1,0))*IF(OR(F291="L",F291="S",F291="I"),-1,1)</f>
        <v>1851.16</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1147</v>
      </c>
      <c r="B292" s="706">
        <v>2025</v>
      </c>
      <c r="C292" s="706" t="s">
        <v>1757</v>
      </c>
      <c r="D292" s="706" t="s">
        <v>1758</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1147</v>
      </c>
      <c r="B293" s="706">
        <v>2025</v>
      </c>
      <c r="C293" s="706" t="s">
        <v>1759</v>
      </c>
      <c r="D293" s="706" t="s">
        <v>1760</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45086.64</v>
      </c>
      <c r="S293" s="706">
        <v>3338.03</v>
      </c>
      <c r="T293" s="706">
        <v>3338.03</v>
      </c>
      <c r="U293" s="706">
        <v>5174.3999999999996</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36718.29</v>
      </c>
      <c r="AM293" s="905">
        <f t="shared" si="26"/>
        <v>8368.3499999999985</v>
      </c>
      <c r="AN293" s="905">
        <f>INDEX(G293:R293,1,MATCH(Parametres!$B$3,G$1:R$1,0))*IF(OR(F293="L",F293="S",F293="I"),-1,1)</f>
        <v>45086.64</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1147</v>
      </c>
      <c r="B294" s="706">
        <v>2025</v>
      </c>
      <c r="C294" s="706" t="s">
        <v>1761</v>
      </c>
      <c r="D294" s="706" t="s">
        <v>1762</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30057.759999999998</v>
      </c>
      <c r="S294" s="706">
        <v>2225.35</v>
      </c>
      <c r="T294" s="706">
        <v>2225.35</v>
      </c>
      <c r="U294" s="706">
        <v>3449.6</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24478.86</v>
      </c>
      <c r="AM294" s="905">
        <f t="shared" si="26"/>
        <v>5578.8999999999978</v>
      </c>
      <c r="AN294" s="905">
        <f>INDEX(G294:R294,1,MATCH(Parametres!$B$3,G$1:R$1,0))*IF(OR(F294="L",F294="S",F294="I"),-1,1)</f>
        <v>30057.759999999998</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1147</v>
      </c>
      <c r="B295" s="706">
        <v>2025</v>
      </c>
      <c r="C295" s="706" t="s">
        <v>1763</v>
      </c>
      <c r="D295" s="706" t="s">
        <v>1764</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45086.64</v>
      </c>
      <c r="S295" s="706">
        <v>3338.03</v>
      </c>
      <c r="T295" s="706">
        <v>3338.03</v>
      </c>
      <c r="U295" s="706">
        <v>5174.3999999999996</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36718.29</v>
      </c>
      <c r="AM295" s="905">
        <f t="shared" si="26"/>
        <v>8368.3499999999985</v>
      </c>
      <c r="AN295" s="905">
        <f>INDEX(G295:R295,1,MATCH(Parametres!$B$3,G$1:R$1,0))*IF(OR(F295="L",F295="S",F295="I"),-1,1)</f>
        <v>45086.64</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1147</v>
      </c>
      <c r="B296" s="706">
        <v>2025</v>
      </c>
      <c r="C296" s="706" t="s">
        <v>1765</v>
      </c>
      <c r="D296" s="706" t="s">
        <v>1766</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15028.89</v>
      </c>
      <c r="S296" s="706">
        <v>1112.68</v>
      </c>
      <c r="T296" s="706">
        <v>1112.68</v>
      </c>
      <c r="U296" s="706">
        <v>1724.8</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12239.44</v>
      </c>
      <c r="AM296" s="905">
        <f t="shared" si="26"/>
        <v>2789.4499999999989</v>
      </c>
      <c r="AN296" s="905">
        <f>INDEX(G296:R296,1,MATCH(Parametres!$B$3,G$1:R$1,0))*IF(OR(F296="L",F296="S",F296="I"),-1,1)</f>
        <v>15028.89</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1147</v>
      </c>
      <c r="B297" s="706">
        <v>2025</v>
      </c>
      <c r="C297" s="706" t="s">
        <v>1767</v>
      </c>
      <c r="D297" s="706" t="s">
        <v>1768</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15028.84</v>
      </c>
      <c r="S297" s="706">
        <v>1112.67</v>
      </c>
      <c r="T297" s="706">
        <v>1112.67</v>
      </c>
      <c r="U297" s="706">
        <v>1724.8</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12239.39</v>
      </c>
      <c r="AM297" s="905">
        <f t="shared" si="26"/>
        <v>2789.4500000000007</v>
      </c>
      <c r="AN297" s="905">
        <f>INDEX(G297:R297,1,MATCH(Parametres!$B$3,G$1:R$1,0))*IF(OR(F297="L",F297="S",F297="I"),-1,1)</f>
        <v>15028.84</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1147</v>
      </c>
      <c r="B298" s="706">
        <v>2025</v>
      </c>
      <c r="C298" s="706" t="s">
        <v>1769</v>
      </c>
      <c r="D298" s="706" t="s">
        <v>1770</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1147</v>
      </c>
      <c r="B299" s="706">
        <v>2025</v>
      </c>
      <c r="C299" s="706" t="s">
        <v>1771</v>
      </c>
      <c r="D299" s="706" t="s">
        <v>1772</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659.78</v>
      </c>
      <c r="AM299" s="905">
        <f t="shared" si="26"/>
        <v>59.980000000000018</v>
      </c>
      <c r="AN299" s="905">
        <f>INDEX(G299:R299,1,MATCH(Parametres!$B$3,G$1:R$1,0))*IF(OR(F299="L",F299="S",F299="I"),-1,1)</f>
        <v>719.76</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1147</v>
      </c>
      <c r="B300" s="706">
        <v>2025</v>
      </c>
      <c r="C300" s="706" t="s">
        <v>1773</v>
      </c>
      <c r="D300" s="706" t="s">
        <v>1774</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412.39</v>
      </c>
      <c r="AM300" s="905">
        <f t="shared" si="26"/>
        <v>37.490000000000009</v>
      </c>
      <c r="AN300" s="905">
        <f>INDEX(G300:R300,1,MATCH(Parametres!$B$3,G$1:R$1,0))*IF(OR(F300="L",F300="S",F300="I"),-1,1)</f>
        <v>449.88</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1147</v>
      </c>
      <c r="B301" s="706">
        <v>2025</v>
      </c>
      <c r="C301" s="706" t="s">
        <v>1775</v>
      </c>
      <c r="D301" s="706" t="s">
        <v>1776</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6907.63</v>
      </c>
      <c r="AM301" s="905">
        <f t="shared" si="26"/>
        <v>29.989999999999782</v>
      </c>
      <c r="AN301" s="905">
        <f>INDEX(G301:R301,1,MATCH(Parametres!$B$3,G$1:R$1,0))*IF(OR(F301="L",F301="S",F301="I"),-1,1)</f>
        <v>6937.62</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1147</v>
      </c>
      <c r="B302" s="706">
        <v>2025</v>
      </c>
      <c r="C302" s="706" t="s">
        <v>1777</v>
      </c>
      <c r="D302" s="706" t="s">
        <v>1778</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646.1</v>
      </c>
      <c r="AM302" s="905">
        <f t="shared" si="26"/>
        <v>7.5</v>
      </c>
      <c r="AN302" s="905">
        <f>INDEX(G302:R302,1,MATCH(Parametres!$B$3,G$1:R$1,0))*IF(OR(F302="L",F302="S",F302="I"),-1,1)</f>
        <v>653.6</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1147</v>
      </c>
      <c r="B303" s="706">
        <v>2025</v>
      </c>
      <c r="C303" s="706" t="s">
        <v>1779</v>
      </c>
      <c r="D303" s="706" t="s">
        <v>1780</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363.59</v>
      </c>
      <c r="AM303" s="905">
        <f t="shared" si="26"/>
        <v>23.240000000000009</v>
      </c>
      <c r="AN303" s="905">
        <f>INDEX(G303:R303,1,MATCH(Parametres!$B$3,G$1:R$1,0))*IF(OR(F303="L",F303="S",F303="I"),-1,1)</f>
        <v>386.83</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1147</v>
      </c>
      <c r="B304" s="706">
        <v>2025</v>
      </c>
      <c r="C304" s="706" t="s">
        <v>1781</v>
      </c>
      <c r="D304" s="706" t="s">
        <v>1154</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1147</v>
      </c>
      <c r="B305" s="706">
        <v>2025</v>
      </c>
      <c r="C305" s="706" t="s">
        <v>1782</v>
      </c>
      <c r="D305" s="706" t="s">
        <v>1783</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1147</v>
      </c>
      <c r="B306" s="706">
        <v>2025</v>
      </c>
      <c r="C306" s="706" t="s">
        <v>3148</v>
      </c>
      <c r="F306" s="706" t="s">
        <v>1104</v>
      </c>
      <c r="R306" s="706">
        <v>1347297</v>
      </c>
      <c r="U306" s="706">
        <v>1347297</v>
      </c>
      <c r="AJ306" s="905" t="str">
        <f t="shared" si="24"/>
        <v>G0990</v>
      </c>
      <c r="AK306" s="905">
        <f t="shared" si="25"/>
        <v>0</v>
      </c>
      <c r="AL306" s="905">
        <f>IFERROR(INDEX(G306:R306,1,MATCH(Parametres!$B$3,G$1:R$1,0)-1)*IF(OR(F306="L",F306="S",F306="I"),-1,1),"")</f>
        <v>0</v>
      </c>
      <c r="AM306" s="905">
        <f t="shared" si="26"/>
        <v>1347297</v>
      </c>
      <c r="AN306" s="905">
        <f>INDEX(G306:R306,1,MATCH(Parametres!$B$3,G$1:R$1,0))*IF(OR(F306="L",F306="S",F306="I"),-1,1)</f>
        <v>1347297</v>
      </c>
      <c r="AO306" s="487" t="str">
        <f>+VLOOKUP($AJ306,Data_Validation!$A:$D,1,0)</f>
        <v>G0990</v>
      </c>
      <c r="AP306" s="487" t="str">
        <f>+VLOOKUP($AJ306,Data_Validation!$A:$D,3,0)</f>
        <v>TOTAL DES REVENUS ET DÉPENSES</v>
      </c>
      <c r="AQ306" s="487" t="str">
        <f>+VLOOKUP($AJ306,Data_Validation!$A:$D,4,0)</f>
        <v>Impôt</v>
      </c>
      <c r="AR306" s="487" t="s">
        <v>299</v>
      </c>
      <c r="AS306" s="487">
        <f>+VLOOKUP($AJ306,Data_Validation!$A:$E,5,0)</f>
        <v>0</v>
      </c>
      <c r="AT306" s="904" t="str">
        <f t="shared" si="27"/>
        <v>G0990</v>
      </c>
      <c r="AU306" s="488">
        <f t="shared" si="28"/>
        <v>0</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1147</v>
      </c>
      <c r="B307" s="706">
        <v>2025</v>
      </c>
      <c r="C307" s="706" t="s">
        <v>1784</v>
      </c>
      <c r="D307" s="706" t="s">
        <v>1139</v>
      </c>
      <c r="E307" s="706" t="s">
        <v>333</v>
      </c>
      <c r="F307" s="706" t="s">
        <v>1135</v>
      </c>
      <c r="G307" s="706">
        <v>0</v>
      </c>
      <c r="H307" s="706">
        <v>0</v>
      </c>
      <c r="I307" s="706">
        <v>0</v>
      </c>
      <c r="J307" s="706">
        <v>0</v>
      </c>
      <c r="K307" s="706">
        <v>0</v>
      </c>
      <c r="L307" s="706">
        <v>0</v>
      </c>
      <c r="M307" s="706">
        <v>0</v>
      </c>
      <c r="N307" s="706">
        <v>0</v>
      </c>
      <c r="O307" s="706">
        <v>0</v>
      </c>
      <c r="P307" s="706">
        <v>0</v>
      </c>
      <c r="Q307" s="706">
        <v>0</v>
      </c>
      <c r="R307" s="706">
        <v>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G1100</v>
      </c>
      <c r="AK307" s="905" t="str">
        <f t="shared" si="25"/>
        <v>VENTES AU COMPTANT</v>
      </c>
      <c r="AL307" s="905">
        <f>IFERROR(INDEX(G307:R307,1,MATCH(Parametres!$B$3,G$1:R$1,0)-1)*IF(OR(F307="L",F307="S",F307="I"),-1,1),"")</f>
        <v>0</v>
      </c>
      <c r="AM307" s="905">
        <f t="shared" si="26"/>
        <v>0</v>
      </c>
      <c r="AN307" s="905">
        <f>INDEX(G307:R307,1,MATCH(Parametres!$B$3,G$1:R$1,0))*IF(OR(F307="L",F307="S",F307="I"),-1,1)</f>
        <v>0</v>
      </c>
      <c r="AO307" s="487" t="str">
        <f>+VLOOKUP($AJ307,Data_Validation!$A:$D,1,0)</f>
        <v>G1100</v>
      </c>
      <c r="AP307" s="487">
        <f>+VLOOKUP($AJ307,Data_Validation!$A:$D,3,0)</f>
        <v>0</v>
      </c>
      <c r="AQ307" s="487">
        <f>+VLOOKUP($AJ307,Data_Validation!$A:$D,4,0)</f>
        <v>0</v>
      </c>
      <c r="AR307" s="487" t="s">
        <v>299</v>
      </c>
      <c r="AS307" s="487">
        <f>+VLOOKUP($AJ307,Data_Validation!$A:$E,5,0)</f>
        <v>0</v>
      </c>
      <c r="AT307" s="904" t="str">
        <f t="shared" si="27"/>
        <v>G1100</v>
      </c>
      <c r="AU307" s="488" t="str">
        <f t="shared" si="28"/>
        <v>VENTES AU COMPTANT</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1147</v>
      </c>
      <c r="B308" s="706">
        <v>2025</v>
      </c>
      <c r="C308" s="706" t="s">
        <v>1785</v>
      </c>
      <c r="D308" s="706" t="s">
        <v>644</v>
      </c>
      <c r="E308" s="706" t="s">
        <v>333</v>
      </c>
      <c r="F308" s="706" t="s">
        <v>1135</v>
      </c>
      <c r="G308" s="706">
        <v>2266.0500000000002</v>
      </c>
      <c r="H308" s="706">
        <v>2266.0500000000002</v>
      </c>
      <c r="I308" s="706">
        <v>2266.0500000000002</v>
      </c>
      <c r="J308" s="706">
        <v>2266.0500000000002</v>
      </c>
      <c r="K308" s="706">
        <v>2266.0500000000002</v>
      </c>
      <c r="L308" s="706">
        <v>2266.0500000000002</v>
      </c>
      <c r="M308" s="706">
        <v>2266.0500000000002</v>
      </c>
      <c r="N308" s="706">
        <v>2266.0500000000002</v>
      </c>
      <c r="O308" s="706">
        <v>2266.0500000000002</v>
      </c>
      <c r="P308" s="706">
        <v>2266.0500000000002</v>
      </c>
      <c r="Q308" s="706">
        <v>2266.0500000000002</v>
      </c>
      <c r="R308" s="706">
        <v>3100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G20000</v>
      </c>
      <c r="AK308" s="905" t="str">
        <f t="shared" si="25"/>
        <v>PETITE CAISSE</v>
      </c>
      <c r="AL308" s="905">
        <f>IFERROR(INDEX(G308:R308,1,MATCH(Parametres!$B$3,G$1:R$1,0)-1)*IF(OR(F308="L",F308="S",F308="I"),-1,1),"")</f>
        <v>2266.0500000000002</v>
      </c>
      <c r="AM308" s="905">
        <f t="shared" si="26"/>
        <v>833.94999999999982</v>
      </c>
      <c r="AN308" s="905">
        <f>INDEX(G308:R308,1,MATCH(Parametres!$B$3,G$1:R$1,0))*IF(OR(F308="L",F308="S",F308="I"),-1,1)</f>
        <v>3100</v>
      </c>
      <c r="AO308" s="487" t="str">
        <f>+VLOOKUP($AJ308,Data_Validation!$A:$D,1,0)</f>
        <v>G20000</v>
      </c>
      <c r="AP308" s="487" t="str">
        <f>+VLOOKUP($AJ308,Data_Validation!$A:$D,3,0)</f>
        <v>Bilan</v>
      </c>
      <c r="AQ308" s="487" t="str">
        <f>+VLOOKUP($AJ308,Data_Validation!$A:$D,4,0)</f>
        <v>Encaisse</v>
      </c>
      <c r="AR308" s="487" t="s">
        <v>299</v>
      </c>
      <c r="AS308" s="487">
        <f>+VLOOKUP($AJ308,Data_Validation!$A:$E,5,0)</f>
        <v>0</v>
      </c>
      <c r="AT308" s="904" t="str">
        <f t="shared" si="27"/>
        <v>G20000</v>
      </c>
      <c r="AU308" s="488" t="str">
        <f t="shared" si="28"/>
        <v>PETITE CAISSE</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1147</v>
      </c>
      <c r="B309" s="706">
        <v>2025</v>
      </c>
      <c r="C309" s="706" t="s">
        <v>1786</v>
      </c>
      <c r="D309" s="706" t="s">
        <v>1787</v>
      </c>
      <c r="E309" s="706" t="s">
        <v>1136</v>
      </c>
      <c r="F309" s="706" t="s">
        <v>1135</v>
      </c>
      <c r="G309" s="706">
        <v>0</v>
      </c>
      <c r="H309" s="706">
        <v>0</v>
      </c>
      <c r="I309" s="706">
        <v>0</v>
      </c>
      <c r="J309" s="706">
        <v>0</v>
      </c>
      <c r="K309" s="706">
        <v>0</v>
      </c>
      <c r="L309" s="706">
        <v>0</v>
      </c>
      <c r="M309" s="706">
        <v>0</v>
      </c>
      <c r="N309" s="706">
        <v>-0.02</v>
      </c>
      <c r="O309" s="706">
        <v>-0.05</v>
      </c>
      <c r="P309" s="706">
        <v>-0.01</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G20001</v>
      </c>
      <c r="AK309" s="905" t="str">
        <f t="shared" si="25"/>
        <v>FUSION PAIE/COMMISSIONS</v>
      </c>
      <c r="AL309" s="905">
        <f>IFERROR(INDEX(G309:R309,1,MATCH(Parametres!$B$3,G$1:R$1,0)-1)*IF(OR(F309="L",F309="S",F309="I"),-1,1),"")</f>
        <v>0</v>
      </c>
      <c r="AM309" s="905">
        <f t="shared" si="26"/>
        <v>0</v>
      </c>
      <c r="AN309" s="905">
        <f>INDEX(G309:R309,1,MATCH(Parametres!$B$3,G$1:R$1,0))*IF(OR(F309="L",F309="S",F309="I"),-1,1)</f>
        <v>0</v>
      </c>
      <c r="AO309" s="487" t="str">
        <f>+VLOOKUP($AJ309,Data_Validation!$A:$D,1,0)</f>
        <v>G20001</v>
      </c>
      <c r="AP309" s="487" t="str">
        <f>+VLOOKUP($AJ309,Data_Validation!$A:$D,3,0)</f>
        <v>Bilan</v>
      </c>
      <c r="AQ309" s="487" t="str">
        <f>+VLOOKUP($AJ309,Data_Validation!$A:$D,4,0)</f>
        <v>Salaires à Payer</v>
      </c>
      <c r="AR309" s="487" t="s">
        <v>299</v>
      </c>
      <c r="AS309" s="487">
        <f>+VLOOKUP($AJ309,Data_Validation!$A:$E,5,0)</f>
        <v>0</v>
      </c>
      <c r="AT309" s="904" t="str">
        <f t="shared" si="27"/>
        <v>G20001</v>
      </c>
      <c r="AU309" s="488" t="str">
        <f t="shared" si="28"/>
        <v>FUSION PAIE/COMMISSIONS</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1147</v>
      </c>
      <c r="B310" s="706">
        <v>2025</v>
      </c>
      <c r="C310" s="706" t="s">
        <v>1788</v>
      </c>
      <c r="D310" s="706" t="s">
        <v>1789</v>
      </c>
      <c r="E310" s="706" t="s">
        <v>1136</v>
      </c>
      <c r="F310" s="706" t="s">
        <v>1135</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G20100</v>
      </c>
      <c r="AK310" s="905" t="str">
        <f t="shared" si="25"/>
        <v>DESJARDINS CTE</v>
      </c>
      <c r="AL310" s="905">
        <f>IFERROR(INDEX(G310:R310,1,MATCH(Parametres!$B$3,G$1:R$1,0)-1)*IF(OR(F310="L",F310="S",F310="I"),-1,1),"")</f>
        <v>0</v>
      </c>
      <c r="AM310" s="905">
        <f t="shared" si="26"/>
        <v>0</v>
      </c>
      <c r="AN310" s="905">
        <f>INDEX(G310:R310,1,MATCH(Parametres!$B$3,G$1:R$1,0))*IF(OR(F310="L",F310="S",F310="I"),-1,1)</f>
        <v>0</v>
      </c>
      <c r="AO310" s="487" t="str">
        <f>+VLOOKUP($AJ310,Data_Validation!$A:$D,1,0)</f>
        <v>G20100</v>
      </c>
      <c r="AP310" s="487" t="str">
        <f>+VLOOKUP($AJ310,Data_Validation!$A:$D,3,0)</f>
        <v>Bilan</v>
      </c>
      <c r="AQ310" s="487" t="str">
        <f>+VLOOKUP($AJ310,Data_Validation!$A:$D,4,0)</f>
        <v>Encaisse</v>
      </c>
      <c r="AR310" s="487" t="s">
        <v>299</v>
      </c>
      <c r="AS310" s="487">
        <f>+VLOOKUP($AJ310,Data_Validation!$A:$E,5,0)</f>
        <v>0</v>
      </c>
      <c r="AT310" s="904" t="str">
        <f t="shared" si="27"/>
        <v>G20100</v>
      </c>
      <c r="AU310" s="488" t="str">
        <f t="shared" si="28"/>
        <v>DESJARDINS CTE</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1147</v>
      </c>
      <c r="B311" s="706">
        <v>2025</v>
      </c>
      <c r="C311" s="706" t="s">
        <v>1790</v>
      </c>
      <c r="D311" s="706" t="s">
        <v>1791</v>
      </c>
      <c r="E311" s="706" t="s">
        <v>1136</v>
      </c>
      <c r="F311" s="706" t="s">
        <v>1135</v>
      </c>
      <c r="G311" s="706">
        <v>0</v>
      </c>
      <c r="H311" s="706">
        <v>0</v>
      </c>
      <c r="I311" s="706">
        <v>0</v>
      </c>
      <c r="J311" s="706">
        <v>0</v>
      </c>
      <c r="K311" s="706">
        <v>0</v>
      </c>
      <c r="L311" s="706">
        <v>0</v>
      </c>
      <c r="M311" s="706">
        <v>0</v>
      </c>
      <c r="N311" s="706">
        <v>0</v>
      </c>
      <c r="O311" s="706">
        <v>0</v>
      </c>
      <c r="P311" s="706">
        <v>0</v>
      </c>
      <c r="Q311" s="706">
        <v>0</v>
      </c>
      <c r="R311" s="706">
        <v>0</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G2020A</v>
      </c>
      <c r="AK311" s="905" t="str">
        <f t="shared" si="25"/>
        <v>BNQ NATIONALE MASTER CARD</v>
      </c>
      <c r="AL311" s="905">
        <f>IFERROR(INDEX(G311:R311,1,MATCH(Parametres!$B$3,G$1:R$1,0)-1)*IF(OR(F311="L",F311="S",F311="I"),-1,1),"")</f>
        <v>0</v>
      </c>
      <c r="AM311" s="905">
        <f t="shared" si="26"/>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t="str">
        <f t="shared" si="27"/>
        <v>G2020A</v>
      </c>
      <c r="AU311" s="488" t="str">
        <f t="shared" si="28"/>
        <v>BNQ NATIONALE MASTER CARD</v>
      </c>
      <c r="AV311" s="899">
        <f>IFERROR(INDEX(V311:AG311,1,MATCH(Parametres!$B$3,V$1:AG$1,0)-1)*IF(OR(C311="L",C311="S",C311="I"),-1,1),"")</f>
        <v>0</v>
      </c>
      <c r="AW311" s="899">
        <f t="shared" si="29"/>
        <v>0</v>
      </c>
      <c r="AX311" s="899">
        <f>INDEX(V311:AG311,1,MATCH(Parametres!$B$3,V$1:AG$1,0))*IF(OR(C311="L",C311="S",C311="I"),-1,1)</f>
        <v>0</v>
      </c>
      <c r="AY311" s="487" t="s">
        <v>337</v>
      </c>
      <c r="AZ311" s="487" t="e">
        <f>+VLOOKUP($AJ311,Data_Validation!$A:$E,5,0)</f>
        <v>#N/A</v>
      </c>
    </row>
    <row r="312" spans="1:52" ht="15" hidden="1" customHeight="1">
      <c r="A312" s="706" t="s">
        <v>1147</v>
      </c>
      <c r="B312" s="706">
        <v>2025</v>
      </c>
      <c r="C312" s="706" t="s">
        <v>1792</v>
      </c>
      <c r="D312" s="706" t="s">
        <v>1137</v>
      </c>
      <c r="E312" s="706" t="s">
        <v>1136</v>
      </c>
      <c r="F312" s="706" t="s">
        <v>1135</v>
      </c>
      <c r="G312" s="706">
        <v>988802.28</v>
      </c>
      <c r="H312" s="706">
        <v>2307648.7000000002</v>
      </c>
      <c r="I312" s="706">
        <v>1602483.86</v>
      </c>
      <c r="J312" s="706">
        <v>1387782.11</v>
      </c>
      <c r="K312" s="706">
        <v>6446635.5800000001</v>
      </c>
      <c r="L312" s="706">
        <v>1042052.18</v>
      </c>
      <c r="M312" s="706">
        <v>-2197049.25</v>
      </c>
      <c r="N312" s="706">
        <v>315711.92</v>
      </c>
      <c r="O312" s="706">
        <v>2113536.2400000002</v>
      </c>
      <c r="P312" s="706">
        <v>2837536.93</v>
      </c>
      <c r="Q312" s="706">
        <v>1563779.16</v>
      </c>
      <c r="R312" s="706">
        <v>3487162.65</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G20200</v>
      </c>
      <c r="AK312" s="905" t="str">
        <f t="shared" si="25"/>
        <v>BANQUE TD CANADA TRUST</v>
      </c>
      <c r="AL312" s="905">
        <f>IFERROR(INDEX(G312:R312,1,MATCH(Parametres!$B$3,G$1:R$1,0)-1)*IF(OR(F312="L",F312="S",F312="I"),-1,1),"")</f>
        <v>1563779.16</v>
      </c>
      <c r="AM312" s="905">
        <f t="shared" si="26"/>
        <v>1923383.49</v>
      </c>
      <c r="AN312" s="905">
        <f>INDEX(G312:R312,1,MATCH(Parametres!$B$3,G$1:R$1,0))*IF(OR(F312="L",F312="S",F312="I"),-1,1)</f>
        <v>3487162.65</v>
      </c>
      <c r="AO312" s="487" t="str">
        <f>+VLOOKUP($AJ312,Data_Validation!$A:$D,1,0)</f>
        <v>G20200</v>
      </c>
      <c r="AP312" s="487" t="str">
        <f>+VLOOKUP($AJ312,Data_Validation!$A:$D,3,0)</f>
        <v>Bilan</v>
      </c>
      <c r="AQ312" s="487" t="str">
        <f>+VLOOKUP($AJ312,Data_Validation!$A:$D,4,0)</f>
        <v>Encaisse</v>
      </c>
      <c r="AR312" s="487" t="s">
        <v>299</v>
      </c>
      <c r="AS312" s="487">
        <f>+VLOOKUP($AJ312,Data_Validation!$A:$E,5,0)</f>
        <v>0</v>
      </c>
      <c r="AT312" s="904" t="str">
        <f t="shared" si="27"/>
        <v>G20200</v>
      </c>
      <c r="AU312" s="488" t="str">
        <f t="shared" si="28"/>
        <v>BANQUE TD CANADA TRUST</v>
      </c>
      <c r="AV312" s="899">
        <f>IFERROR(INDEX(V312:AG312,1,MATCH(Parametres!$B$3,V$1:AG$1,0)-1)*IF(OR(C312="L",C312="S",C312="I"),-1,1),"")</f>
        <v>0</v>
      </c>
      <c r="AW312" s="899">
        <f t="shared" si="29"/>
        <v>0</v>
      </c>
      <c r="AX312" s="899">
        <f>INDEX(V312:AG312,1,MATCH(Parametres!$B$3,V$1:AG$1,0))*IF(OR(C312="L",C312="S",C312="I"),-1,1)</f>
        <v>0</v>
      </c>
      <c r="AY312" s="487" t="s">
        <v>337</v>
      </c>
      <c r="AZ312" s="487">
        <f>+VLOOKUP($AJ312,Data_Validation!$A:$E,5,0)</f>
        <v>0</v>
      </c>
    </row>
    <row r="313" spans="1:52" ht="15" customHeight="1">
      <c r="A313" s="706" t="s">
        <v>1147</v>
      </c>
      <c r="B313" s="706">
        <v>2025</v>
      </c>
      <c r="C313" s="706" t="s">
        <v>1793</v>
      </c>
      <c r="D313" s="706" t="s">
        <v>1794</v>
      </c>
      <c r="E313" s="706" t="s">
        <v>333</v>
      </c>
      <c r="F313" s="706" t="s">
        <v>1135</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G20201</v>
      </c>
      <c r="AK313" s="905" t="str">
        <f t="shared" si="25"/>
        <v>ENCAISSE DEPOTS CLIENTS</v>
      </c>
      <c r="AL313" s="905">
        <f>IFERROR(INDEX(G313:R313,1,MATCH(Parametres!$B$3,G$1:R$1,0)-1)*IF(OR(F313="L",F313="S",F313="I"),-1,1),"")</f>
        <v>0</v>
      </c>
      <c r="AM313" s="905">
        <f t="shared" si="26"/>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t="str">
        <f t="shared" si="27"/>
        <v>G20201</v>
      </c>
      <c r="AU313" s="488" t="str">
        <f t="shared" si="28"/>
        <v>ENCAISSE DEPOTS CLIENTS</v>
      </c>
      <c r="AV313" s="899">
        <f>IFERROR(INDEX(V313:AG313,1,MATCH(Parametres!$B$3,V$1:AG$1,0)-1)*IF(OR(C313="L",C313="S",C313="I"),-1,1),"")</f>
        <v>0</v>
      </c>
      <c r="AW313" s="899">
        <f t="shared" si="29"/>
        <v>0</v>
      </c>
      <c r="AX313" s="899">
        <f>INDEX(V313:AG313,1,MATCH(Parametres!$B$3,V$1:AG$1,0))*IF(OR(C313="L",C313="S",C313="I"),-1,1)</f>
        <v>0</v>
      </c>
      <c r="AY313" s="487" t="s">
        <v>337</v>
      </c>
      <c r="AZ313" s="487" t="e">
        <f>+VLOOKUP($AJ313,Data_Validation!$A:$E,5,0)</f>
        <v>#N/A</v>
      </c>
    </row>
    <row r="314" spans="1:52" ht="15" customHeight="1">
      <c r="A314" s="706" t="s">
        <v>1147</v>
      </c>
      <c r="B314" s="706">
        <v>2025</v>
      </c>
      <c r="C314" s="706" t="s">
        <v>1795</v>
      </c>
      <c r="D314" s="706" t="s">
        <v>1796</v>
      </c>
      <c r="E314" s="706" t="s">
        <v>333</v>
      </c>
      <c r="F314" s="706" t="s">
        <v>1135</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G20202</v>
      </c>
      <c r="AK314" s="905" t="str">
        <f t="shared" si="25"/>
        <v>ENCAISSE COMPTE SALAIRE</v>
      </c>
      <c r="AL314" s="905">
        <f>IFERROR(INDEX(G314:R314,1,MATCH(Parametres!$B$3,G$1:R$1,0)-1)*IF(OR(F314="L",F314="S",F314="I"),-1,1),"")</f>
        <v>0</v>
      </c>
      <c r="AM314" s="905">
        <f t="shared" si="26"/>
        <v>0</v>
      </c>
      <c r="AN314" s="905">
        <f>INDEX(G314:R314,1,MATCH(Parametres!$B$3,G$1:R$1,0))*IF(OR(F314="L",F314="S",F314="I"),-1,1)</f>
        <v>0</v>
      </c>
      <c r="AO314" s="487" t="str">
        <f>+VLOOKUP($AJ314,Data_Validation!$A:$D,1,0)</f>
        <v>G20202</v>
      </c>
      <c r="AP314" s="487">
        <f>+VLOOKUP($AJ314,Data_Validation!$A:$D,3,0)</f>
        <v>0</v>
      </c>
      <c r="AQ314" s="487">
        <f>+VLOOKUP($AJ314,Data_Validation!$A:$D,4,0)</f>
        <v>0</v>
      </c>
      <c r="AR314" s="487" t="s">
        <v>299</v>
      </c>
      <c r="AS314" s="487">
        <f>+VLOOKUP($AJ314,Data_Validation!$A:$E,5,0)</f>
        <v>0</v>
      </c>
      <c r="AT314" s="904" t="str">
        <f t="shared" si="27"/>
        <v>G20202</v>
      </c>
      <c r="AU314" s="488" t="str">
        <f t="shared" si="28"/>
        <v>ENCAISSE COMPTE SALAIRE</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1147</v>
      </c>
      <c r="B315" s="706">
        <v>2025</v>
      </c>
      <c r="C315" s="706" t="s">
        <v>1797</v>
      </c>
      <c r="D315" s="706" t="s">
        <v>1791</v>
      </c>
      <c r="E315" s="706" t="s">
        <v>1136</v>
      </c>
      <c r="F315" s="706" t="s">
        <v>1135</v>
      </c>
      <c r="G315" s="706">
        <v>0</v>
      </c>
      <c r="H315" s="706">
        <v>0</v>
      </c>
      <c r="I315" s="706">
        <v>0</v>
      </c>
      <c r="J315" s="706">
        <v>0</v>
      </c>
      <c r="K315" s="706">
        <v>0</v>
      </c>
      <c r="L315" s="706">
        <v>0</v>
      </c>
      <c r="M315" s="706">
        <v>0</v>
      </c>
      <c r="N315" s="706">
        <v>0</v>
      </c>
      <c r="O315" s="706">
        <v>0</v>
      </c>
      <c r="P315" s="706">
        <v>0</v>
      </c>
      <c r="Q315" s="706">
        <v>0</v>
      </c>
      <c r="R315" s="706">
        <v>0</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G2021A</v>
      </c>
      <c r="AK315" s="905" t="str">
        <f t="shared" si="25"/>
        <v>BNQ NATIONALE MASTER CARD</v>
      </c>
      <c r="AL315" s="905">
        <f>IFERROR(INDEX(G315:R315,1,MATCH(Parametres!$B$3,G$1:R$1,0)-1)*IF(OR(F315="L",F315="S",F315="I"),-1,1),"")</f>
        <v>0</v>
      </c>
      <c r="AM315" s="905">
        <f t="shared" si="26"/>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t="str">
        <f t="shared" si="27"/>
        <v>G2021A</v>
      </c>
      <c r="AU315" s="488" t="str">
        <f t="shared" si="28"/>
        <v>BNQ NATIONALE MASTER CARD</v>
      </c>
      <c r="AV315" s="899">
        <f>IFERROR(INDEX(V315:AG315,1,MATCH(Parametres!$B$3,V$1:AG$1,0)-1)*IF(OR(C315="L",C315="S",C315="I"),-1,1),"")</f>
        <v>0</v>
      </c>
      <c r="AW315" s="899">
        <f t="shared" si="29"/>
        <v>0</v>
      </c>
      <c r="AX315" s="899">
        <f>INDEX(V315:AG315,1,MATCH(Parametres!$B$3,V$1:AG$1,0))*IF(OR(C315="L",C315="S",C315="I"),-1,1)</f>
        <v>0</v>
      </c>
      <c r="AY315" s="487" t="s">
        <v>337</v>
      </c>
      <c r="AZ315" s="487" t="e">
        <f>+VLOOKUP($AJ315,Data_Validation!$A:$E,5,0)</f>
        <v>#N/A</v>
      </c>
    </row>
    <row r="316" spans="1:52" ht="15" hidden="1" customHeight="1">
      <c r="A316" s="706" t="s">
        <v>1147</v>
      </c>
      <c r="B316" s="706">
        <v>2025</v>
      </c>
      <c r="C316" s="706" t="s">
        <v>1798</v>
      </c>
      <c r="D316" s="706" t="s">
        <v>1799</v>
      </c>
      <c r="E316" s="706" t="s">
        <v>1136</v>
      </c>
      <c r="F316" s="706" t="s">
        <v>1135</v>
      </c>
      <c r="G316" s="706">
        <v>-103.1</v>
      </c>
      <c r="H316" s="706">
        <v>-103.1</v>
      </c>
      <c r="I316" s="706">
        <v>-103.1</v>
      </c>
      <c r="J316" s="706">
        <v>-103.1</v>
      </c>
      <c r="K316" s="706">
        <v>-103.1</v>
      </c>
      <c r="L316" s="706">
        <v>956.15</v>
      </c>
      <c r="M316" s="706">
        <v>956.15</v>
      </c>
      <c r="N316" s="706">
        <v>956.15</v>
      </c>
      <c r="O316" s="706">
        <v>956.15</v>
      </c>
      <c r="P316" s="706">
        <v>956.15</v>
      </c>
      <c r="Q316" s="706">
        <v>956.15</v>
      </c>
      <c r="R316" s="706">
        <v>956.15</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G20300</v>
      </c>
      <c r="AK316" s="905" t="str">
        <f t="shared" si="25"/>
        <v>COMPTE U.S. BANQUE TD</v>
      </c>
      <c r="AL316" s="905">
        <f>IFERROR(INDEX(G316:R316,1,MATCH(Parametres!$B$3,G$1:R$1,0)-1)*IF(OR(F316="L",F316="S",F316="I"),-1,1),"")</f>
        <v>956.15</v>
      </c>
      <c r="AM316" s="905">
        <f t="shared" si="26"/>
        <v>0</v>
      </c>
      <c r="AN316" s="905">
        <f>INDEX(G316:R316,1,MATCH(Parametres!$B$3,G$1:R$1,0))*IF(OR(F316="L",F316="S",F316="I"),-1,1)</f>
        <v>956.15</v>
      </c>
      <c r="AO316" s="487" t="str">
        <f>+VLOOKUP($AJ316,Data_Validation!$A:$D,1,0)</f>
        <v>G20300</v>
      </c>
      <c r="AP316" s="487" t="str">
        <f>+VLOOKUP($AJ316,Data_Validation!$A:$D,3,0)</f>
        <v>Bilan</v>
      </c>
      <c r="AQ316" s="487" t="str">
        <f>+VLOOKUP($AJ316,Data_Validation!$A:$D,4,0)</f>
        <v>Encaisse</v>
      </c>
      <c r="AR316" s="487" t="s">
        <v>299</v>
      </c>
      <c r="AS316" s="487">
        <f>+VLOOKUP($AJ316,Data_Validation!$A:$E,5,0)</f>
        <v>0</v>
      </c>
      <c r="AT316" s="904" t="str">
        <f t="shared" si="27"/>
        <v>G20300</v>
      </c>
      <c r="AU316" s="488" t="str">
        <f t="shared" si="28"/>
        <v>COMPTE U.S. BANQUE TD</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1147</v>
      </c>
      <c r="B317" s="706">
        <v>2025</v>
      </c>
      <c r="C317" s="706" t="s">
        <v>1800</v>
      </c>
      <c r="D317" s="706" t="s">
        <v>1801</v>
      </c>
      <c r="E317" s="706" t="s">
        <v>1136</v>
      </c>
      <c r="F317" s="706" t="s">
        <v>1135</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G20301</v>
      </c>
      <c r="AK317" s="905" t="str">
        <f t="shared" si="25"/>
        <v>CONVERTION COMPTE U.S.</v>
      </c>
      <c r="AL317" s="905">
        <f>IFERROR(INDEX(G317:R317,1,MATCH(Parametres!$B$3,G$1:R$1,0)-1)*IF(OR(F317="L",F317="S",F317="I"),-1,1),"")</f>
        <v>0</v>
      </c>
      <c r="AM317" s="905">
        <f t="shared" si="26"/>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t="str">
        <f t="shared" si="27"/>
        <v>G20301</v>
      </c>
      <c r="AU317" s="488" t="str">
        <f t="shared" si="28"/>
        <v>CONVERTION COMPTE U.S.</v>
      </c>
      <c r="AV317" s="899">
        <f>IFERROR(INDEX(V317:AG317,1,MATCH(Parametres!$B$3,V$1:AG$1,0)-1)*IF(OR(C317="L",C317="S",C317="I"),-1,1),"")</f>
        <v>0</v>
      </c>
      <c r="AW317" s="899">
        <f t="shared" si="29"/>
        <v>0</v>
      </c>
      <c r="AX317" s="899">
        <f>INDEX(V317:AG317,1,MATCH(Parametres!$B$3,V$1:AG$1,0))*IF(OR(C317="L",C317="S",C317="I"),-1,1)</f>
        <v>0</v>
      </c>
      <c r="AY317" s="487" t="s">
        <v>337</v>
      </c>
      <c r="AZ317" s="487" t="e">
        <f>+VLOOKUP($AJ317,Data_Validation!$A:$E,5,0)</f>
        <v>#N/A</v>
      </c>
    </row>
    <row r="318" spans="1:52" ht="15.75" customHeight="1">
      <c r="A318" s="706" t="s">
        <v>1147</v>
      </c>
      <c r="B318" s="706">
        <v>2025</v>
      </c>
      <c r="C318" s="706" t="s">
        <v>1802</v>
      </c>
      <c r="D318" s="706" t="s">
        <v>1803</v>
      </c>
      <c r="E318" s="706" t="s">
        <v>333</v>
      </c>
      <c r="F318" s="706" t="s">
        <v>1135</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G20400</v>
      </c>
      <c r="AK318" s="905" t="str">
        <f t="shared" si="25"/>
        <v>AVANTAGE ENTREPRISE E.T.</v>
      </c>
      <c r="AL318" s="905">
        <f>IFERROR(INDEX(G318:R318,1,MATCH(Parametres!$B$3,G$1:R$1,0)-1)*IF(OR(F318="L",F318="S",F318="I"),-1,1),"")</f>
        <v>0</v>
      </c>
      <c r="AM318" s="905">
        <f t="shared" si="26"/>
        <v>0</v>
      </c>
      <c r="AN318" s="905">
        <f>INDEX(G318:R318,1,MATCH(Parametres!$B$3,G$1:R$1,0))*IF(OR(F318="L",F318="S",F318="I"),-1,1)</f>
        <v>0</v>
      </c>
      <c r="AO318" s="487" t="str">
        <f>+VLOOKUP($AJ318,Data_Validation!$A:$D,1,0)</f>
        <v>G20400</v>
      </c>
      <c r="AP318" s="487">
        <f>+VLOOKUP($AJ318,Data_Validation!$A:$D,3,0)</f>
        <v>0</v>
      </c>
      <c r="AQ318" s="487">
        <f>+VLOOKUP($AJ318,Data_Validation!$A:$D,4,0)</f>
        <v>0</v>
      </c>
      <c r="AR318" s="487" t="s">
        <v>299</v>
      </c>
      <c r="AS318" s="487">
        <f>+VLOOKUP($AJ318,Data_Validation!$A:$E,5,0)</f>
        <v>0</v>
      </c>
      <c r="AT318" s="904" t="str">
        <f t="shared" si="27"/>
        <v>G20400</v>
      </c>
      <c r="AU318" s="488" t="str">
        <f t="shared" si="28"/>
        <v>AVANTAGE ENTREPRISE E.T.</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1147</v>
      </c>
      <c r="B319" s="706">
        <v>2025</v>
      </c>
      <c r="C319" s="706" t="s">
        <v>1804</v>
      </c>
      <c r="D319" s="706" t="s">
        <v>1805</v>
      </c>
      <c r="E319" s="706" t="s">
        <v>1141</v>
      </c>
      <c r="F319" s="706" t="s">
        <v>1135</v>
      </c>
      <c r="G319" s="706">
        <v>787777.57</v>
      </c>
      <c r="H319" s="706">
        <v>1321133.6599999999</v>
      </c>
      <c r="I319" s="706">
        <v>1226321.1399999999</v>
      </c>
      <c r="J319" s="706">
        <v>504023.48</v>
      </c>
      <c r="K319" s="706">
        <v>1382623.28</v>
      </c>
      <c r="L319" s="706">
        <v>861532.8</v>
      </c>
      <c r="M319" s="706">
        <v>691058.03</v>
      </c>
      <c r="N319" s="706">
        <v>1413897.15</v>
      </c>
      <c r="O319" s="706">
        <v>725365.67</v>
      </c>
      <c r="P319" s="706">
        <v>676624.89</v>
      </c>
      <c r="Q319" s="706">
        <v>583071.34</v>
      </c>
      <c r="R319" s="706">
        <v>788592.11</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G20500</v>
      </c>
      <c r="AK319" s="905" t="str">
        <f t="shared" si="25"/>
        <v>CONTRATS FINANCE A/R GM</v>
      </c>
      <c r="AL319" s="905">
        <f>IFERROR(INDEX(G319:R319,1,MATCH(Parametres!$B$3,G$1:R$1,0)-1)*IF(OR(F319="L",F319="S",F319="I"),-1,1),"")</f>
        <v>583071.34</v>
      </c>
      <c r="AM319" s="905">
        <f t="shared" si="26"/>
        <v>205520.77000000002</v>
      </c>
      <c r="AN319" s="905">
        <f>INDEX(G319:R319,1,MATCH(Parametres!$B$3,G$1:R$1,0))*IF(OR(F319="L",F319="S",F319="I"),-1,1)</f>
        <v>788592.11</v>
      </c>
      <c r="AO319" s="487" t="str">
        <f>+VLOOKUP($AJ319,Data_Validation!$A:$D,1,0)</f>
        <v>G20500</v>
      </c>
      <c r="AP319" s="487" t="str">
        <f>+VLOOKUP($AJ319,Data_Validation!$A:$D,3,0)</f>
        <v>Bilan</v>
      </c>
      <c r="AQ319" s="487" t="str">
        <f>+VLOOKUP($AJ319,Data_Validation!$A:$D,4,0)</f>
        <v>Recevables Contrats en Transit</v>
      </c>
      <c r="AR319" s="487" t="s">
        <v>299</v>
      </c>
      <c r="AS319" s="487">
        <f>+VLOOKUP($AJ319,Data_Validation!$A:$E,5,0)</f>
        <v>0</v>
      </c>
      <c r="AT319" s="904" t="str">
        <f t="shared" si="27"/>
        <v>G20500</v>
      </c>
      <c r="AU319" s="488" t="str">
        <f t="shared" si="28"/>
        <v>CONTRATS FINANCE A/R GM</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1147</v>
      </c>
      <c r="B320" s="706">
        <v>2025</v>
      </c>
      <c r="C320" s="706" t="s">
        <v>1806</v>
      </c>
      <c r="D320" s="706" t="s">
        <v>1807</v>
      </c>
      <c r="E320" s="706" t="s">
        <v>333</v>
      </c>
      <c r="F320" s="706" t="s">
        <v>1135</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G20998</v>
      </c>
      <c r="AK320" s="905" t="str">
        <f t="shared" si="25"/>
        <v>DEDUCTIBLE</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G20998</v>
      </c>
      <c r="AU320" s="488" t="str">
        <f t="shared" si="28"/>
        <v>DEDUCTIBLE</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customHeight="1">
      <c r="A321" s="706" t="s">
        <v>1147</v>
      </c>
      <c r="B321" s="706">
        <v>2025</v>
      </c>
      <c r="C321" s="706" t="s">
        <v>1808</v>
      </c>
      <c r="D321" s="706" t="s">
        <v>1154</v>
      </c>
      <c r="E321" s="706" t="s">
        <v>333</v>
      </c>
      <c r="F321" s="706" t="s">
        <v>1135</v>
      </c>
      <c r="G321" s="706">
        <v>0</v>
      </c>
      <c r="H321" s="706">
        <v>0</v>
      </c>
      <c r="I321" s="706">
        <v>0</v>
      </c>
      <c r="J321" s="706">
        <v>0</v>
      </c>
      <c r="K321" s="706">
        <v>0</v>
      </c>
      <c r="L321" s="706">
        <v>0</v>
      </c>
      <c r="M321" s="706">
        <v>0</v>
      </c>
      <c r="N321" s="706">
        <v>0</v>
      </c>
      <c r="O321" s="706">
        <v>0</v>
      </c>
      <c r="P321" s="706">
        <v>0</v>
      </c>
      <c r="Q321" s="706">
        <v>0</v>
      </c>
      <c r="R321" s="706">
        <v>0</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G20999</v>
      </c>
      <c r="AK321" s="905" t="str">
        <f t="shared" si="25"/>
        <v>DOCUMENTS CANCELLES</v>
      </c>
      <c r="AL321" s="905">
        <f>IFERROR(INDEX(G321:R321,1,MATCH(Parametres!$B$3,G$1:R$1,0)-1)*IF(OR(F321="L",F321="S",F321="I"),-1,1),"")</f>
        <v>0</v>
      </c>
      <c r="AM321" s="905">
        <f t="shared" si="26"/>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t="str">
        <f t="shared" si="27"/>
        <v>G20999</v>
      </c>
      <c r="AU321" s="488" t="str">
        <f t="shared" si="28"/>
        <v>DOCUMENTS CANCELLES</v>
      </c>
      <c r="AV321" s="899">
        <f>IFERROR(INDEX(V321:AG321,1,MATCH(Parametres!$B$3,V$1:AG$1,0)-1)*IF(OR(C321="L",C321="S",C321="I"),-1,1),"")</f>
        <v>0</v>
      </c>
      <c r="AW321" s="899">
        <f t="shared" si="29"/>
        <v>0</v>
      </c>
      <c r="AX321" s="899">
        <f>INDEX(V321:AG321,1,MATCH(Parametres!$B$3,V$1:AG$1,0))*IF(OR(C321="L",C321="S",C321="I"),-1,1)</f>
        <v>0</v>
      </c>
      <c r="AY321" s="487" t="s">
        <v>337</v>
      </c>
      <c r="AZ321" s="487" t="e">
        <f>+VLOOKUP($AJ321,Data_Validation!$A:$E,5,0)</f>
        <v>#N/A</v>
      </c>
    </row>
    <row r="322" spans="1:52" ht="15.75" hidden="1" customHeight="1">
      <c r="A322" s="706" t="s">
        <v>1147</v>
      </c>
      <c r="B322" s="706">
        <v>2025</v>
      </c>
      <c r="C322" s="706" t="s">
        <v>1809</v>
      </c>
      <c r="D322" s="706" t="s">
        <v>1810</v>
      </c>
      <c r="E322" s="706" t="s">
        <v>1138</v>
      </c>
      <c r="F322" s="706" t="s">
        <v>1135</v>
      </c>
      <c r="G322" s="706">
        <v>-12352.03</v>
      </c>
      <c r="H322" s="706">
        <v>8265.8799999999992</v>
      </c>
      <c r="I322" s="706">
        <v>-19324.560000000001</v>
      </c>
      <c r="J322" s="706">
        <v>-6652.48</v>
      </c>
      <c r="K322" s="706">
        <v>-14870.9</v>
      </c>
      <c r="L322" s="706">
        <v>-130351.43</v>
      </c>
      <c r="M322" s="706">
        <v>-87986.73</v>
      </c>
      <c r="N322" s="706">
        <v>-74635.53</v>
      </c>
      <c r="O322" s="706">
        <v>886.15</v>
      </c>
      <c r="P322" s="706">
        <v>-34896.5</v>
      </c>
      <c r="Q322" s="706">
        <v>-34799.519999999997</v>
      </c>
      <c r="R322" s="706">
        <v>9635.07</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G220IMM</v>
      </c>
      <c r="AK322" s="905" t="str">
        <f t="shared" si="25"/>
        <v>IMMATRICULATION-VEHICULE</v>
      </c>
      <c r="AL322" s="905">
        <f>IFERROR(INDEX(G322:R322,1,MATCH(Parametres!$B$3,G$1:R$1,0)-1)*IF(OR(F322="L",F322="S",F322="I"),-1,1),"")</f>
        <v>-34799.519999999997</v>
      </c>
      <c r="AM322" s="905">
        <f t="shared" si="26"/>
        <v>44434.59</v>
      </c>
      <c r="AN322" s="905">
        <f>INDEX(G322:R322,1,MATCH(Parametres!$B$3,G$1:R$1,0))*IF(OR(F322="L",F322="S",F322="I"),-1,1)</f>
        <v>9635.07</v>
      </c>
      <c r="AO322" s="487" t="str">
        <f>+VLOOKUP($AJ322,Data_Validation!$A:$D,1,0)</f>
        <v>G220IMM</v>
      </c>
      <c r="AP322" s="487" t="str">
        <f>+VLOOKUP($AJ322,Data_Validation!$A:$D,3,0)</f>
        <v>Bilan</v>
      </c>
      <c r="AQ322" s="487" t="str">
        <f>+VLOOKUP($AJ322,Data_Validation!$A:$D,4,0)</f>
        <v>Recevables Véhicules</v>
      </c>
      <c r="AR322" s="487" t="s">
        <v>299</v>
      </c>
      <c r="AS322" s="487">
        <f>+VLOOKUP($AJ322,Data_Validation!$A:$E,5,0)</f>
        <v>0</v>
      </c>
      <c r="AT322" s="904" t="str">
        <f t="shared" si="27"/>
        <v>G220IMM</v>
      </c>
      <c r="AU322" s="488" t="str">
        <f t="shared" si="28"/>
        <v>IMMATRICULATION-VEHICULE</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1147</v>
      </c>
      <c r="B323" s="706">
        <v>2025</v>
      </c>
      <c r="C323" s="706" t="s">
        <v>1811</v>
      </c>
      <c r="D323" s="706" t="s">
        <v>1812</v>
      </c>
      <c r="E323" s="706" t="s">
        <v>1141</v>
      </c>
      <c r="F323" s="706" t="s">
        <v>1135</v>
      </c>
      <c r="G323" s="706">
        <v>0</v>
      </c>
      <c r="H323" s="706">
        <v>0</v>
      </c>
      <c r="I323" s="706">
        <v>0</v>
      </c>
      <c r="J323" s="706">
        <v>0</v>
      </c>
      <c r="K323" s="706">
        <v>0</v>
      </c>
      <c r="L323" s="706">
        <v>0</v>
      </c>
      <c r="M323" s="706">
        <v>0</v>
      </c>
      <c r="N323" s="706">
        <v>0</v>
      </c>
      <c r="O323" s="706">
        <v>0</v>
      </c>
      <c r="P323" s="706">
        <v>0</v>
      </c>
      <c r="Q323" s="706">
        <v>0</v>
      </c>
      <c r="R323" s="706">
        <v>0</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G2200D</v>
      </c>
      <c r="AK323" s="905" t="str">
        <f t="shared" si="25"/>
        <v>DEPOT - CLIENT PCES &amp; SRV</v>
      </c>
      <c r="AL323" s="905">
        <f>IFERROR(INDEX(G323:R323,1,MATCH(Parametres!$B$3,G$1:R$1,0)-1)*IF(OR(F323="L",F323="S",F323="I"),-1,1),"")</f>
        <v>0</v>
      </c>
      <c r="AM323" s="905">
        <f t="shared" si="26"/>
        <v>0</v>
      </c>
      <c r="AN323" s="905">
        <f>INDEX(G323:R323,1,MATCH(Parametres!$B$3,G$1:R$1,0))*IF(OR(F323="L",F323="S",F323="I"),-1,1)</f>
        <v>0</v>
      </c>
      <c r="AO323" s="487" t="str">
        <f>+VLOOKUP($AJ323,Data_Validation!$A:$D,1,0)</f>
        <v>G2200D</v>
      </c>
      <c r="AP323" s="487">
        <f>+VLOOKUP($AJ323,Data_Validation!$A:$D,3,0)</f>
        <v>0</v>
      </c>
      <c r="AQ323" s="487">
        <f>+VLOOKUP($AJ323,Data_Validation!$A:$D,4,0)</f>
        <v>0</v>
      </c>
      <c r="AR323" s="487" t="s">
        <v>299</v>
      </c>
      <c r="AS323" s="487">
        <f>+VLOOKUP($AJ323,Data_Validation!$A:$E,5,0)</f>
        <v>0</v>
      </c>
      <c r="AT323" s="904" t="str">
        <f t="shared" si="27"/>
        <v>G2200D</v>
      </c>
      <c r="AU323" s="488" t="str">
        <f t="shared" si="28"/>
        <v>DEPOT - CLIENT PCES &amp; SRV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1147</v>
      </c>
      <c r="B324" s="706">
        <v>2025</v>
      </c>
      <c r="C324" s="706" t="s">
        <v>1813</v>
      </c>
      <c r="D324" s="706" t="s">
        <v>1814</v>
      </c>
      <c r="E324" s="706" t="s">
        <v>1135</v>
      </c>
      <c r="F324" s="706" t="s">
        <v>1135</v>
      </c>
      <c r="G324" s="706">
        <v>639374.9</v>
      </c>
      <c r="H324" s="706">
        <v>626036.79</v>
      </c>
      <c r="I324" s="706">
        <v>664713.43000000005</v>
      </c>
      <c r="J324" s="706">
        <v>630363.57999999996</v>
      </c>
      <c r="K324" s="706">
        <v>653265.4</v>
      </c>
      <c r="L324" s="706">
        <v>732468.75</v>
      </c>
      <c r="M324" s="706">
        <v>598358.67000000004</v>
      </c>
      <c r="N324" s="706">
        <v>630999.43999999994</v>
      </c>
      <c r="O324" s="706">
        <v>650157.69999999995</v>
      </c>
      <c r="P324" s="706">
        <v>648356.29</v>
      </c>
      <c r="Q324" s="706">
        <v>1312680.6399999999</v>
      </c>
      <c r="R324" s="706">
        <v>760891.2</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G22000</v>
      </c>
      <c r="AK324" s="905" t="str">
        <f t="shared" ref="AK324:AK387" si="31">D324</f>
        <v>COMPTES A REC.-PCE SERV.</v>
      </c>
      <c r="AL324" s="905">
        <f>IFERROR(INDEX(G324:R324,1,MATCH(Parametres!$B$3,G$1:R$1,0)-1)*IF(OR(F324="L",F324="S",F324="I"),-1,1),"")</f>
        <v>1312680.6399999999</v>
      </c>
      <c r="AM324" s="905">
        <f t="shared" ref="AM324:AM387" si="32">AN324-AL324</f>
        <v>-551789.43999999994</v>
      </c>
      <c r="AN324" s="905">
        <f>INDEX(G324:R324,1,MATCH(Parametres!$B$3,G$1:R$1,0))*IF(OR(F324="L",F324="S",F324="I"),-1,1)</f>
        <v>760891.2</v>
      </c>
      <c r="AO324" s="487" t="str">
        <f>+VLOOKUP($AJ324,Data_Validation!$A:$D,1,0)</f>
        <v>G22000</v>
      </c>
      <c r="AP324" s="487" t="str">
        <f>+VLOOKUP($AJ324,Data_Validation!$A:$D,3,0)</f>
        <v>Bilan</v>
      </c>
      <c r="AQ324" s="487" t="str">
        <f>+VLOOKUP($AJ324,Data_Validation!$A:$D,4,0)</f>
        <v>Recevables Pièces et Service</v>
      </c>
      <c r="AR324" s="487" t="s">
        <v>299</v>
      </c>
      <c r="AS324" s="487">
        <f>+VLOOKUP($AJ324,Data_Validation!$A:$E,5,0)</f>
        <v>0</v>
      </c>
      <c r="AT324" s="904" t="str">
        <f t="shared" ref="AT324:AT387" si="33">C324</f>
        <v>G22000</v>
      </c>
      <c r="AU324" s="488" t="str">
        <f t="shared" ref="AU324:AU387" si="34">D324</f>
        <v>COMPTES A REC.-PCE SERV.</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1147</v>
      </c>
      <c r="B325" s="706">
        <v>2025</v>
      </c>
      <c r="C325" s="706" t="s">
        <v>1815</v>
      </c>
      <c r="D325" s="706" t="s">
        <v>1816</v>
      </c>
      <c r="E325" s="706" t="s">
        <v>1141</v>
      </c>
      <c r="F325" s="706" t="s">
        <v>1135</v>
      </c>
      <c r="G325" s="706">
        <v>-235934.52</v>
      </c>
      <c r="H325" s="706">
        <v>-192972.36</v>
      </c>
      <c r="I325" s="706">
        <v>5070.96</v>
      </c>
      <c r="J325" s="706">
        <v>-51955.12</v>
      </c>
      <c r="K325" s="706">
        <v>39273.97</v>
      </c>
      <c r="L325" s="706">
        <v>-80482.100000000006</v>
      </c>
      <c r="M325" s="706">
        <v>26947.99</v>
      </c>
      <c r="N325" s="706">
        <v>-154253.28</v>
      </c>
      <c r="O325" s="706">
        <v>-4863.95</v>
      </c>
      <c r="P325" s="706">
        <v>-17723.5</v>
      </c>
      <c r="Q325" s="706">
        <v>-63806.45</v>
      </c>
      <c r="R325" s="706">
        <v>-124679.25</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G22001</v>
      </c>
      <c r="AK325" s="905" t="str">
        <f t="shared" si="31"/>
        <v>COMPTES A REC.-VEHICULE</v>
      </c>
      <c r="AL325" s="905">
        <f>IFERROR(INDEX(G325:R325,1,MATCH(Parametres!$B$3,G$1:R$1,0)-1)*IF(OR(F325="L",F325="S",F325="I"),-1,1),"")</f>
        <v>-63806.45</v>
      </c>
      <c r="AM325" s="905">
        <f t="shared" si="32"/>
        <v>-60872.800000000003</v>
      </c>
      <c r="AN325" s="905">
        <f>INDEX(G325:R325,1,MATCH(Parametres!$B$3,G$1:R$1,0))*IF(OR(F325="L",F325="S",F325="I"),-1,1)</f>
        <v>-124679.25</v>
      </c>
      <c r="AO325" s="487" t="str">
        <f>+VLOOKUP($AJ325,Data_Validation!$A:$D,1,0)</f>
        <v>G22001</v>
      </c>
      <c r="AP325" s="487" t="str">
        <f>+VLOOKUP($AJ325,Data_Validation!$A:$D,3,0)</f>
        <v>Bilan</v>
      </c>
      <c r="AQ325" s="487" t="str">
        <f>+VLOOKUP($AJ325,Data_Validation!$A:$D,4,0)</f>
        <v>Recevables Véhicules</v>
      </c>
      <c r="AR325" s="487" t="s">
        <v>299</v>
      </c>
      <c r="AS325" s="487">
        <f>+VLOOKUP($AJ325,Data_Validation!$A:$E,5,0)</f>
        <v>0</v>
      </c>
      <c r="AT325" s="904" t="str">
        <f t="shared" si="33"/>
        <v>G22001</v>
      </c>
      <c r="AU325" s="488" t="str">
        <f t="shared" si="34"/>
        <v>COMPTES A REC.-VEHICULE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1147</v>
      </c>
      <c r="B326" s="706">
        <v>2025</v>
      </c>
      <c r="C326" s="706" t="s">
        <v>1817</v>
      </c>
      <c r="D326" s="706" t="s">
        <v>1818</v>
      </c>
      <c r="E326" s="706" t="s">
        <v>1135</v>
      </c>
      <c r="F326" s="706" t="s">
        <v>1135</v>
      </c>
      <c r="G326" s="706">
        <v>34466.949999999997</v>
      </c>
      <c r="H326" s="706">
        <v>55880.92</v>
      </c>
      <c r="I326" s="706">
        <v>59320.639999999999</v>
      </c>
      <c r="J326" s="706">
        <v>74427.13</v>
      </c>
      <c r="K326" s="706">
        <v>73119.649999999994</v>
      </c>
      <c r="L326" s="706">
        <v>11964.03</v>
      </c>
      <c r="M326" s="706">
        <v>68645.47</v>
      </c>
      <c r="N326" s="706">
        <v>130889.98</v>
      </c>
      <c r="O326" s="706">
        <v>62438.080000000002</v>
      </c>
      <c r="P326" s="706">
        <v>2076</v>
      </c>
      <c r="Q326" s="706">
        <v>39230.370000000003</v>
      </c>
      <c r="R326" s="706">
        <v>35501.4</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G22002</v>
      </c>
      <c r="AK326" s="905" t="str">
        <f t="shared" si="31"/>
        <v>REC CLIENTS CARROSSERIE</v>
      </c>
      <c r="AL326" s="905">
        <f>IFERROR(INDEX(G326:R326,1,MATCH(Parametres!$B$3,G$1:R$1,0)-1)*IF(OR(F326="L",F326="S",F326="I"),-1,1),"")</f>
        <v>39230.370000000003</v>
      </c>
      <c r="AM326" s="905">
        <f t="shared" si="32"/>
        <v>-3728.9700000000012</v>
      </c>
      <c r="AN326" s="905">
        <f>INDEX(G326:R326,1,MATCH(Parametres!$B$3,G$1:R$1,0))*IF(OR(F326="L",F326="S",F326="I"),-1,1)</f>
        <v>35501.4</v>
      </c>
      <c r="AO326" s="487" t="str">
        <f>+VLOOKUP($AJ326,Data_Validation!$A:$D,1,0)</f>
        <v>G22002</v>
      </c>
      <c r="AP326" s="487" t="str">
        <f>+VLOOKUP($AJ326,Data_Validation!$A:$D,3,0)</f>
        <v>Bilan</v>
      </c>
      <c r="AQ326" s="487" t="str">
        <f>+VLOOKUP($AJ326,Data_Validation!$A:$D,4,0)</f>
        <v>Recevables Carrosserie</v>
      </c>
      <c r="AR326" s="487" t="s">
        <v>299</v>
      </c>
      <c r="AS326" s="487">
        <f>+VLOOKUP($AJ326,Data_Validation!$A:$E,5,0)</f>
        <v>0</v>
      </c>
      <c r="AT326" s="904" t="str">
        <f t="shared" si="33"/>
        <v>G22002</v>
      </c>
      <c r="AU326" s="488" t="str">
        <f t="shared" si="34"/>
        <v>REC CLIENTS CARROSSERIE</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1147</v>
      </c>
      <c r="B327" s="706">
        <v>2025</v>
      </c>
      <c r="C327" s="706" t="s">
        <v>1819</v>
      </c>
      <c r="D327" s="706" t="s">
        <v>1820</v>
      </c>
      <c r="E327" s="706" t="s">
        <v>1135</v>
      </c>
      <c r="F327" s="706" t="s">
        <v>1135</v>
      </c>
      <c r="G327" s="706">
        <v>0</v>
      </c>
      <c r="H327" s="706">
        <v>25676.25</v>
      </c>
      <c r="I327" s="706">
        <v>25676.25</v>
      </c>
      <c r="J327" s="706">
        <v>25676.25</v>
      </c>
      <c r="K327" s="706">
        <v>25676.25</v>
      </c>
      <c r="L327" s="706">
        <v>25676.25</v>
      </c>
      <c r="M327" s="706">
        <v>26676.25</v>
      </c>
      <c r="N327" s="706">
        <v>26676.25</v>
      </c>
      <c r="O327" s="706">
        <v>26676.25</v>
      </c>
      <c r="P327" s="706">
        <v>52111.18</v>
      </c>
      <c r="Q327" s="706">
        <v>55045.18</v>
      </c>
      <c r="R327" s="706">
        <v>51111.18</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G22003</v>
      </c>
      <c r="AK327" s="905" t="str">
        <f t="shared" si="31"/>
        <v>COMPTES A REC.-VENTES</v>
      </c>
      <c r="AL327" s="905">
        <f>IFERROR(INDEX(G327:R327,1,MATCH(Parametres!$B$3,G$1:R$1,0)-1)*IF(OR(F327="L",F327="S",F327="I"),-1,1),"")</f>
        <v>55045.18</v>
      </c>
      <c r="AM327" s="905">
        <f t="shared" si="32"/>
        <v>-3934</v>
      </c>
      <c r="AN327" s="905">
        <f>INDEX(G327:R327,1,MATCH(Parametres!$B$3,G$1:R$1,0))*IF(OR(F327="L",F327="S",F327="I"),-1,1)</f>
        <v>51111.18</v>
      </c>
      <c r="AO327" s="487" t="str">
        <f>+VLOOKUP($AJ327,Data_Validation!$A:$D,1,0)</f>
        <v>G22003</v>
      </c>
      <c r="AP327" s="487" t="str">
        <f>+VLOOKUP($AJ327,Data_Validation!$A:$D,3,0)</f>
        <v>Bilan</v>
      </c>
      <c r="AQ327" s="487" t="str">
        <f>+VLOOKUP($AJ327,Data_Validation!$A:$D,4,0)</f>
        <v>Recevables Véhicules</v>
      </c>
      <c r="AR327" s="487" t="s">
        <v>299</v>
      </c>
      <c r="AS327" s="487">
        <f>+VLOOKUP($AJ327,Data_Validation!$A:$E,5,0)</f>
        <v>0</v>
      </c>
      <c r="AT327" s="904" t="str">
        <f t="shared" si="33"/>
        <v>G22003</v>
      </c>
      <c r="AU327" s="488" t="str">
        <f t="shared" si="34"/>
        <v>COMPTES A REC.-VENTES</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1147</v>
      </c>
      <c r="B328" s="706">
        <v>2025</v>
      </c>
      <c r="C328" s="706" t="s">
        <v>1821</v>
      </c>
      <c r="D328" s="706" t="s">
        <v>1822</v>
      </c>
      <c r="E328" s="706" t="s">
        <v>333</v>
      </c>
      <c r="F328" s="706" t="s">
        <v>1135</v>
      </c>
      <c r="G328" s="706">
        <v>68132.789999999994</v>
      </c>
      <c r="H328" s="706">
        <v>65447.76</v>
      </c>
      <c r="I328" s="706">
        <v>82180.77</v>
      </c>
      <c r="J328" s="706">
        <v>37698.35</v>
      </c>
      <c r="K328" s="706">
        <v>97530.87</v>
      </c>
      <c r="L328" s="706">
        <v>103161.28</v>
      </c>
      <c r="M328" s="706">
        <v>91429.93</v>
      </c>
      <c r="N328" s="706">
        <v>94119.27</v>
      </c>
      <c r="O328" s="706">
        <v>146450.31</v>
      </c>
      <c r="P328" s="706">
        <v>106729.07</v>
      </c>
      <c r="Q328" s="706">
        <v>38522.01</v>
      </c>
      <c r="R328" s="706">
        <v>20413.39</v>
      </c>
      <c r="S328" s="706">
        <v>0</v>
      </c>
      <c r="T328" s="706">
        <v>0</v>
      </c>
      <c r="U328" s="706">
        <v>1792</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G22004</v>
      </c>
      <c r="AK328" s="905" t="str">
        <f t="shared" si="31"/>
        <v>T.V.Q. A RECEVOIR</v>
      </c>
      <c r="AL328" s="905">
        <f>IFERROR(INDEX(G328:R328,1,MATCH(Parametres!$B$3,G$1:R$1,0)-1)*IF(OR(F328="L",F328="S",F328="I"),-1,1),"")</f>
        <v>38522.01</v>
      </c>
      <c r="AM328" s="905">
        <f t="shared" si="32"/>
        <v>-18108.620000000003</v>
      </c>
      <c r="AN328" s="905">
        <f>INDEX(G328:R328,1,MATCH(Parametres!$B$3,G$1:R$1,0))*IF(OR(F328="L",F328="S",F328="I"),-1,1)</f>
        <v>20413.39</v>
      </c>
      <c r="AO328" s="487" t="str">
        <f>+VLOOKUP($AJ328,Data_Validation!$A:$D,1,0)</f>
        <v>G22004</v>
      </c>
      <c r="AP328" s="487" t="str">
        <f>+VLOOKUP($AJ328,Data_Validation!$A:$D,3,0)</f>
        <v>Bilan</v>
      </c>
      <c r="AQ328" s="487" t="str">
        <f>+VLOOKUP($AJ328,Data_Validation!$A:$D,4,0)</f>
        <v>Taxes de Vente à Payer</v>
      </c>
      <c r="AR328" s="487" t="s">
        <v>299</v>
      </c>
      <c r="AS328" s="487">
        <f>+VLOOKUP($AJ328,Data_Validation!$A:$E,5,0)</f>
        <v>0</v>
      </c>
      <c r="AT328" s="904" t="str">
        <f t="shared" si="33"/>
        <v>G22004</v>
      </c>
      <c r="AU328" s="488" t="str">
        <f t="shared" si="34"/>
        <v>T.V.Q.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1147</v>
      </c>
      <c r="B329" s="706">
        <v>2025</v>
      </c>
      <c r="C329" s="706" t="s">
        <v>1823</v>
      </c>
      <c r="D329" s="706" t="s">
        <v>1824</v>
      </c>
      <c r="E329" s="706" t="s">
        <v>333</v>
      </c>
      <c r="F329" s="706" t="s">
        <v>1135</v>
      </c>
      <c r="G329" s="706">
        <v>1295880.56</v>
      </c>
      <c r="H329" s="706">
        <v>1767776.97</v>
      </c>
      <c r="I329" s="706">
        <v>2949447.7</v>
      </c>
      <c r="J329" s="706">
        <v>1603271.29</v>
      </c>
      <c r="K329" s="706">
        <v>1215507.83</v>
      </c>
      <c r="L329" s="706">
        <v>924535.83</v>
      </c>
      <c r="M329" s="706">
        <v>1005739.52</v>
      </c>
      <c r="N329" s="706">
        <v>1116291.1000000001</v>
      </c>
      <c r="O329" s="706">
        <v>1489703.31</v>
      </c>
      <c r="P329" s="706">
        <v>1901150.17</v>
      </c>
      <c r="Q329" s="706">
        <v>2048741.81</v>
      </c>
      <c r="R329" s="706">
        <v>2817669.53</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G22005</v>
      </c>
      <c r="AK329" s="905" t="str">
        <f t="shared" si="31"/>
        <v>T.P.S. A RECEVOIR</v>
      </c>
      <c r="AL329" s="905">
        <f>IFERROR(INDEX(G329:R329,1,MATCH(Parametres!$B$3,G$1:R$1,0)-1)*IF(OR(F329="L",F329="S",F329="I"),-1,1),"")</f>
        <v>2048741.81</v>
      </c>
      <c r="AM329" s="905">
        <f t="shared" si="32"/>
        <v>768927.71999999974</v>
      </c>
      <c r="AN329" s="905">
        <f>INDEX(G329:R329,1,MATCH(Parametres!$B$3,G$1:R$1,0))*IF(OR(F329="L",F329="S",F329="I"),-1,1)</f>
        <v>2817669.53</v>
      </c>
      <c r="AO329" s="487" t="str">
        <f>+VLOOKUP($AJ329,Data_Validation!$A:$D,1,0)</f>
        <v>G22005</v>
      </c>
      <c r="AP329" s="487" t="str">
        <f>+VLOOKUP($AJ329,Data_Validation!$A:$D,3,0)</f>
        <v>Bilan</v>
      </c>
      <c r="AQ329" s="487" t="str">
        <f>+VLOOKUP($AJ329,Data_Validation!$A:$D,4,0)</f>
        <v>Taxes de Vente à Payer</v>
      </c>
      <c r="AR329" s="487" t="s">
        <v>299</v>
      </c>
      <c r="AS329" s="487">
        <f>+VLOOKUP($AJ329,Data_Validation!$A:$E,5,0)</f>
        <v>0</v>
      </c>
      <c r="AT329" s="904" t="str">
        <f t="shared" si="33"/>
        <v>G22005</v>
      </c>
      <c r="AU329" s="488" t="str">
        <f t="shared" si="34"/>
        <v>T.P.S. A RECEVOIR</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1147</v>
      </c>
      <c r="B330" s="706">
        <v>2025</v>
      </c>
      <c r="C330" s="706" t="s">
        <v>1825</v>
      </c>
      <c r="D330" s="706" t="s">
        <v>1826</v>
      </c>
      <c r="E330" s="706" t="s">
        <v>1141</v>
      </c>
      <c r="F330" s="706" t="s">
        <v>1135</v>
      </c>
      <c r="G330" s="706">
        <v>35665.800000000003</v>
      </c>
      <c r="H330" s="706">
        <v>31324.06</v>
      </c>
      <c r="I330" s="706">
        <v>31381.52</v>
      </c>
      <c r="J330" s="706">
        <v>35931.26</v>
      </c>
      <c r="K330" s="706">
        <v>42626.15</v>
      </c>
      <c r="L330" s="706">
        <v>43026.15</v>
      </c>
      <c r="M330" s="706">
        <v>35960.21</v>
      </c>
      <c r="N330" s="706">
        <v>33311.39</v>
      </c>
      <c r="O330" s="706">
        <v>38947</v>
      </c>
      <c r="P330" s="706">
        <v>33716.6</v>
      </c>
      <c r="Q330" s="706">
        <v>28823.78</v>
      </c>
      <c r="R330" s="706">
        <v>25974.68</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G22006</v>
      </c>
      <c r="AK330" s="905" t="str">
        <f t="shared" si="31"/>
        <v>COMPTES REC - EMPLOYÉ</v>
      </c>
      <c r="AL330" s="905">
        <f>IFERROR(INDEX(G330:R330,1,MATCH(Parametres!$B$3,G$1:R$1,0)-1)*IF(OR(F330="L",F330="S",F330="I"),-1,1),"")</f>
        <v>28823.78</v>
      </c>
      <c r="AM330" s="905">
        <f t="shared" si="32"/>
        <v>-2849.0999999999985</v>
      </c>
      <c r="AN330" s="905">
        <f>INDEX(G330:R330,1,MATCH(Parametres!$B$3,G$1:R$1,0))*IF(OR(F330="L",F330="S",F330="I"),-1,1)</f>
        <v>25974.68</v>
      </c>
      <c r="AO330" s="487" t="str">
        <f>+VLOOKUP($AJ330,Data_Validation!$A:$D,1,0)</f>
        <v>G22006</v>
      </c>
      <c r="AP330" s="487" t="str">
        <f>+VLOOKUP($AJ330,Data_Validation!$A:$D,3,0)</f>
        <v>Bilan</v>
      </c>
      <c r="AQ330" s="487" t="str">
        <f>+VLOOKUP($AJ330,Data_Validation!$A:$D,4,0)</f>
        <v>Recevables Autres</v>
      </c>
      <c r="AR330" s="487" t="s">
        <v>299</v>
      </c>
      <c r="AS330" s="487">
        <f>+VLOOKUP($AJ330,Data_Validation!$A:$E,5,0)</f>
        <v>0</v>
      </c>
      <c r="AT330" s="904" t="str">
        <f t="shared" si="33"/>
        <v>G22006</v>
      </c>
      <c r="AU330" s="488" t="str">
        <f t="shared" si="34"/>
        <v>COMPTES REC - EMPLOYÉ</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1147</v>
      </c>
      <c r="B331" s="706">
        <v>2025</v>
      </c>
      <c r="C331" s="706" t="s">
        <v>1827</v>
      </c>
      <c r="D331" s="706" t="s">
        <v>1828</v>
      </c>
      <c r="E331" s="706" t="s">
        <v>1141</v>
      </c>
      <c r="F331" s="706" t="s">
        <v>1135</v>
      </c>
      <c r="G331" s="706">
        <v>498719.06</v>
      </c>
      <c r="H331" s="706">
        <v>510237</v>
      </c>
      <c r="I331" s="706">
        <v>641870.99</v>
      </c>
      <c r="J331" s="706">
        <v>766226.84</v>
      </c>
      <c r="K331" s="706">
        <v>684504.37</v>
      </c>
      <c r="L331" s="706">
        <v>732637.38</v>
      </c>
      <c r="M331" s="706">
        <v>396748.54</v>
      </c>
      <c r="N331" s="706">
        <v>1278566</v>
      </c>
      <c r="O331" s="706">
        <v>1583790.5</v>
      </c>
      <c r="P331" s="706">
        <v>393010.35</v>
      </c>
      <c r="Q331" s="706">
        <v>2161641.13</v>
      </c>
      <c r="R331" s="706">
        <v>344608.35</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G22008</v>
      </c>
      <c r="AK331" s="905" t="str">
        <f t="shared" si="31"/>
        <v>VENTES WHOLESALE</v>
      </c>
      <c r="AL331" s="905">
        <f>IFERROR(INDEX(G331:R331,1,MATCH(Parametres!$B$3,G$1:R$1,0)-1)*IF(OR(F331="L",F331="S",F331="I"),-1,1),"")</f>
        <v>2161641.13</v>
      </c>
      <c r="AM331" s="905">
        <f t="shared" si="32"/>
        <v>-1817032.7799999998</v>
      </c>
      <c r="AN331" s="905">
        <f>INDEX(G331:R331,1,MATCH(Parametres!$B$3,G$1:R$1,0))*IF(OR(F331="L",F331="S",F331="I"),-1,1)</f>
        <v>344608.35</v>
      </c>
      <c r="AO331" s="487" t="str">
        <f>+VLOOKUP($AJ331,Data_Validation!$A:$D,1,0)</f>
        <v>G22008</v>
      </c>
      <c r="AP331" s="487" t="str">
        <f>+VLOOKUP($AJ331,Data_Validation!$A:$D,3,0)</f>
        <v>Bilan</v>
      </c>
      <c r="AQ331" s="487" t="str">
        <f>+VLOOKUP($AJ331,Data_Validation!$A:$D,4,0)</f>
        <v>Recevables Véhicules</v>
      </c>
      <c r="AR331" s="487" t="s">
        <v>299</v>
      </c>
      <c r="AS331" s="487">
        <f>+VLOOKUP($AJ331,Data_Validation!$A:$E,5,0)</f>
        <v>0</v>
      </c>
      <c r="AT331" s="904" t="str">
        <f t="shared" si="33"/>
        <v>G22008</v>
      </c>
      <c r="AU331" s="488" t="str">
        <f t="shared" si="34"/>
        <v>VENTES WHOLESALE</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1147</v>
      </c>
      <c r="B332" s="706">
        <v>2025</v>
      </c>
      <c r="C332" s="706" t="s">
        <v>1829</v>
      </c>
      <c r="D332" s="706" t="s">
        <v>1830</v>
      </c>
      <c r="E332" s="706" t="s">
        <v>1141</v>
      </c>
      <c r="F332" s="706" t="s">
        <v>1135</v>
      </c>
      <c r="G332" s="706">
        <v>78166.17</v>
      </c>
      <c r="H332" s="706">
        <v>229919.39</v>
      </c>
      <c r="I332" s="706">
        <v>869048.45</v>
      </c>
      <c r="J332" s="706">
        <v>3472052.94</v>
      </c>
      <c r="K332" s="706">
        <v>2327812.0099999998</v>
      </c>
      <c r="L332" s="706">
        <v>669409.15</v>
      </c>
      <c r="M332" s="706">
        <v>1453366.96</v>
      </c>
      <c r="N332" s="706">
        <v>-67068.259999999995</v>
      </c>
      <c r="O332" s="706">
        <v>314332.49</v>
      </c>
      <c r="P332" s="706">
        <v>-67083.41</v>
      </c>
      <c r="Q332" s="706">
        <v>66681.59</v>
      </c>
      <c r="R332" s="706">
        <v>-302659.90000000002</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G22009</v>
      </c>
      <c r="AK332" s="905" t="str">
        <f t="shared" si="31"/>
        <v>VENTES FLOTTES</v>
      </c>
      <c r="AL332" s="905">
        <f>IFERROR(INDEX(G332:R332,1,MATCH(Parametres!$B$3,G$1:R$1,0)-1)*IF(OR(F332="L",F332="S",F332="I"),-1,1),"")</f>
        <v>66681.59</v>
      </c>
      <c r="AM332" s="905">
        <f t="shared" si="32"/>
        <v>-369341.49</v>
      </c>
      <c r="AN332" s="905">
        <f>INDEX(G332:R332,1,MATCH(Parametres!$B$3,G$1:R$1,0))*IF(OR(F332="L",F332="S",F332="I"),-1,1)</f>
        <v>-302659.90000000002</v>
      </c>
      <c r="AO332" s="487" t="str">
        <f>+VLOOKUP($AJ332,Data_Validation!$A:$D,1,0)</f>
        <v>G22009</v>
      </c>
      <c r="AP332" s="487" t="str">
        <f>+VLOOKUP($AJ332,Data_Validation!$A:$D,3,0)</f>
        <v>Bilan</v>
      </c>
      <c r="AQ332" s="487" t="str">
        <f>+VLOOKUP($AJ332,Data_Validation!$A:$D,4,0)</f>
        <v>Recevables Véhicules</v>
      </c>
      <c r="AR332" s="487" t="s">
        <v>299</v>
      </c>
      <c r="AS332" s="487">
        <f>+VLOOKUP($AJ332,Data_Validation!$A:$E,5,0)</f>
        <v>0</v>
      </c>
      <c r="AT332" s="904" t="str">
        <f t="shared" si="33"/>
        <v>G22009</v>
      </c>
      <c r="AU332" s="488" t="str">
        <f t="shared" si="34"/>
        <v>VENTES FLOTTES</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customHeight="1">
      <c r="A333" s="706" t="s">
        <v>1147</v>
      </c>
      <c r="B333" s="706">
        <v>2025</v>
      </c>
      <c r="C333" s="706" t="s">
        <v>1831</v>
      </c>
      <c r="D333" s="706" t="s">
        <v>1791</v>
      </c>
      <c r="E333" s="706" t="s">
        <v>1136</v>
      </c>
      <c r="F333" s="706" t="s">
        <v>1135</v>
      </c>
      <c r="G333" s="706">
        <v>0</v>
      </c>
      <c r="H333" s="706">
        <v>0</v>
      </c>
      <c r="I333" s="706">
        <v>0</v>
      </c>
      <c r="J333" s="706">
        <v>0</v>
      </c>
      <c r="K333" s="706">
        <v>0</v>
      </c>
      <c r="L333" s="706">
        <v>0</v>
      </c>
      <c r="M333" s="706">
        <v>0</v>
      </c>
      <c r="N333" s="706">
        <v>0</v>
      </c>
      <c r="O333" s="706">
        <v>0</v>
      </c>
      <c r="P333" s="706">
        <v>0</v>
      </c>
      <c r="Q333" s="706">
        <v>0</v>
      </c>
      <c r="R333" s="706">
        <v>0</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G2201A</v>
      </c>
      <c r="AK333" s="905" t="str">
        <f t="shared" si="31"/>
        <v>BNQ NATIONALE MASTER CARD</v>
      </c>
      <c r="AL333" s="905">
        <f>IFERROR(INDEX(G333:R333,1,MATCH(Parametres!$B$3,G$1:R$1,0)-1)*IF(OR(F333="L",F333="S",F333="I"),-1,1),"")</f>
        <v>0</v>
      </c>
      <c r="AM333" s="905">
        <f t="shared" si="32"/>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t="str">
        <f t="shared" si="33"/>
        <v>G2201A</v>
      </c>
      <c r="AU333" s="488" t="str">
        <f t="shared" si="34"/>
        <v>BNQ NATIONALE MASTER CARD</v>
      </c>
      <c r="AV333" s="899">
        <f>IFERROR(INDEX(V333:AG333,1,MATCH(Parametres!$B$3,V$1:AG$1,0)-1)*IF(OR(C333="L",C333="S",C333="I"),-1,1),"")</f>
        <v>0</v>
      </c>
      <c r="AW333" s="899">
        <f t="shared" si="35"/>
        <v>0</v>
      </c>
      <c r="AX333" s="899">
        <f>INDEX(V333:AG333,1,MATCH(Parametres!$B$3,V$1:AG$1,0))*IF(OR(C333="L",C333="S",C333="I"),-1,1)</f>
        <v>0</v>
      </c>
      <c r="AY333" s="487" t="s">
        <v>337</v>
      </c>
      <c r="AZ333" s="487" t="e">
        <f>+VLOOKUP($AJ333,Data_Validation!$A:$E,5,0)</f>
        <v>#N/A</v>
      </c>
    </row>
    <row r="334" spans="1:52" ht="15.75" hidden="1" customHeight="1">
      <c r="A334" s="706" t="s">
        <v>1147</v>
      </c>
      <c r="B334" s="706">
        <v>2025</v>
      </c>
      <c r="C334" s="706" t="s">
        <v>1832</v>
      </c>
      <c r="D334" s="706" t="s">
        <v>1833</v>
      </c>
      <c r="E334" s="706" t="s">
        <v>336</v>
      </c>
      <c r="F334" s="706" t="s">
        <v>1135</v>
      </c>
      <c r="G334" s="706">
        <v>0</v>
      </c>
      <c r="H334" s="706">
        <v>49225.96</v>
      </c>
      <c r="I334" s="706">
        <v>1001639.3</v>
      </c>
      <c r="J334" s="706">
        <v>0</v>
      </c>
      <c r="K334" s="706">
        <v>-112519.81</v>
      </c>
      <c r="L334" s="706">
        <v>1379562.21</v>
      </c>
      <c r="M334" s="706">
        <v>-124648.13</v>
      </c>
      <c r="N334" s="706">
        <v>-176601.84</v>
      </c>
      <c r="O334" s="706">
        <v>-207050.08</v>
      </c>
      <c r="P334" s="706">
        <v>-481338.94</v>
      </c>
      <c r="Q334" s="706">
        <v>0</v>
      </c>
      <c r="R334" s="706">
        <v>39756.480000000003</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G22010</v>
      </c>
      <c r="AK334" s="905" t="str">
        <f t="shared" si="31"/>
        <v>VENTES US MANHEIM</v>
      </c>
      <c r="AL334" s="905">
        <f>IFERROR(INDEX(G334:R334,1,MATCH(Parametres!$B$3,G$1:R$1,0)-1)*IF(OR(F334="L",F334="S",F334="I"),-1,1),"")</f>
        <v>0</v>
      </c>
      <c r="AM334" s="905">
        <f t="shared" si="32"/>
        <v>39756.480000000003</v>
      </c>
      <c r="AN334" s="905">
        <f>INDEX(G334:R334,1,MATCH(Parametres!$B$3,G$1:R$1,0))*IF(OR(F334="L",F334="S",F334="I"),-1,1)</f>
        <v>39756.480000000003</v>
      </c>
      <c r="AO334" s="487" t="str">
        <f>+VLOOKUP($AJ334,Data_Validation!$A:$D,1,0)</f>
        <v>G22010</v>
      </c>
      <c r="AP334" s="487" t="str">
        <f>+VLOOKUP($AJ334,Data_Validation!$A:$D,3,0)</f>
        <v>Bilan</v>
      </c>
      <c r="AQ334" s="487" t="str">
        <f>+VLOOKUP($AJ334,Data_Validation!$A:$D,4,0)</f>
        <v>Recevables Véhicules</v>
      </c>
      <c r="AR334" s="487" t="s">
        <v>299</v>
      </c>
      <c r="AS334" s="487">
        <f>+VLOOKUP($AJ334,Data_Validation!$A:$E,5,0)</f>
        <v>0</v>
      </c>
      <c r="AT334" s="904" t="str">
        <f t="shared" si="33"/>
        <v>G22010</v>
      </c>
      <c r="AU334" s="488" t="str">
        <f t="shared" si="34"/>
        <v>VENTES US MANHEIM</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1147</v>
      </c>
      <c r="B335" s="706">
        <v>2025</v>
      </c>
      <c r="C335" s="706" t="s">
        <v>1834</v>
      </c>
      <c r="D335" s="706" t="s">
        <v>1835</v>
      </c>
      <c r="E335" s="706" t="s">
        <v>336</v>
      </c>
      <c r="F335" s="706" t="s">
        <v>1135</v>
      </c>
      <c r="G335" s="706">
        <v>-19872.88</v>
      </c>
      <c r="H335" s="706">
        <v>-39746.339999999997</v>
      </c>
      <c r="I335" s="706">
        <v>66319.149999999994</v>
      </c>
      <c r="J335" s="706">
        <v>141029.47</v>
      </c>
      <c r="K335" s="706">
        <v>178440.66</v>
      </c>
      <c r="L335" s="706">
        <v>212396.96</v>
      </c>
      <c r="M335" s="706">
        <v>456740.24</v>
      </c>
      <c r="N335" s="706">
        <v>615813.87</v>
      </c>
      <c r="O335" s="706">
        <v>341622.18</v>
      </c>
      <c r="P335" s="706">
        <v>153586.29999999999</v>
      </c>
      <c r="Q335" s="706">
        <v>154446.70000000001</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G22011</v>
      </c>
      <c r="AK335" s="905" t="str">
        <f t="shared" si="31"/>
        <v>VENTES EBLOCK</v>
      </c>
      <c r="AL335" s="905">
        <f>IFERROR(INDEX(G335:R335,1,MATCH(Parametres!$B$3,G$1:R$1,0)-1)*IF(OR(F335="L",F335="S",F335="I"),-1,1),"")</f>
        <v>154446.70000000001</v>
      </c>
      <c r="AM335" s="905">
        <f t="shared" si="32"/>
        <v>-154446.70000000001</v>
      </c>
      <c r="AN335" s="905">
        <f>INDEX(G335:R335,1,MATCH(Parametres!$B$3,G$1:R$1,0))*IF(OR(F335="L",F335="S",F335="I"),-1,1)</f>
        <v>0</v>
      </c>
      <c r="AO335" s="487" t="str">
        <f>+VLOOKUP($AJ335,Data_Validation!$A:$D,1,0)</f>
        <v>G22011</v>
      </c>
      <c r="AP335" s="487" t="str">
        <f>+VLOOKUP($AJ335,Data_Validation!$A:$D,3,0)</f>
        <v>Bilan</v>
      </c>
      <c r="AQ335" s="487" t="str">
        <f>+VLOOKUP($AJ335,Data_Validation!$A:$D,4,0)</f>
        <v>Recevables Véhicules</v>
      </c>
      <c r="AR335" s="487" t="s">
        <v>299</v>
      </c>
      <c r="AS335" s="487">
        <f>+VLOOKUP($AJ335,Data_Validation!$A:$E,5,0)</f>
        <v>0</v>
      </c>
      <c r="AT335" s="904" t="str">
        <f t="shared" si="33"/>
        <v>G22011</v>
      </c>
      <c r="AU335" s="488" t="str">
        <f t="shared" si="34"/>
        <v>VENTES EBLOCK</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customHeight="1">
      <c r="A336" s="706" t="s">
        <v>1147</v>
      </c>
      <c r="B336" s="706">
        <v>2025</v>
      </c>
      <c r="C336" s="706" t="s">
        <v>1836</v>
      </c>
      <c r="D336" s="706" t="s">
        <v>1837</v>
      </c>
      <c r="E336" s="706" t="s">
        <v>336</v>
      </c>
      <c r="F336" s="706" t="s">
        <v>1135</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G22012</v>
      </c>
      <c r="AK336" s="905" t="str">
        <f t="shared" si="31"/>
        <v>VENTES FOSS NATIONAL LEAS</v>
      </c>
      <c r="AL336" s="905">
        <f>IFERROR(INDEX(G336:R336,1,MATCH(Parametres!$B$3,G$1:R$1,0)-1)*IF(OR(F336="L",F336="S",F336="I"),-1,1),"")</f>
        <v>0</v>
      </c>
      <c r="AM336" s="905">
        <f t="shared" si="32"/>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G22012</v>
      </c>
      <c r="AU336" s="488" t="str">
        <f t="shared" si="34"/>
        <v>VENTES FOSS NATIONAL LEAS</v>
      </c>
      <c r="AV336" s="899">
        <f>IFERROR(INDEX(V336:AG336,1,MATCH(Parametres!$B$3,V$1:AG$1,0)-1)*IF(OR(C336="L",C336="S",C336="I"),-1,1),"")</f>
        <v>0</v>
      </c>
      <c r="AW336" s="899">
        <f t="shared" si="35"/>
        <v>0</v>
      </c>
      <c r="AX336" s="899">
        <f>INDEX(V336:AG336,1,MATCH(Parametres!$B$3,V$1:AG$1,0))*IF(OR(C336="L",C336="S",C336="I"),-1,1)</f>
        <v>0</v>
      </c>
      <c r="AY336" s="487" t="s">
        <v>337</v>
      </c>
      <c r="AZ336" s="487" t="e">
        <f>+VLOOKUP($AJ336,Data_Validation!$A:$E,5,0)</f>
        <v>#N/A</v>
      </c>
    </row>
    <row r="337" spans="1:52" ht="15" hidden="1" customHeight="1">
      <c r="A337" s="706" t="s">
        <v>1147</v>
      </c>
      <c r="B337" s="706">
        <v>2025</v>
      </c>
      <c r="C337" s="706" t="s">
        <v>1838</v>
      </c>
      <c r="D337" s="706" t="s">
        <v>1839</v>
      </c>
      <c r="E337" s="706" t="s">
        <v>336</v>
      </c>
      <c r="F337" s="706" t="s">
        <v>1135</v>
      </c>
      <c r="G337" s="706">
        <v>0</v>
      </c>
      <c r="H337" s="706">
        <v>0</v>
      </c>
      <c r="I337" s="706">
        <v>276696</v>
      </c>
      <c r="J337" s="706">
        <v>0</v>
      </c>
      <c r="K337" s="706">
        <v>138292.03</v>
      </c>
      <c r="L337" s="706">
        <v>-48765.5</v>
      </c>
      <c r="M337" s="706">
        <v>0</v>
      </c>
      <c r="N337" s="706">
        <v>0</v>
      </c>
      <c r="O337" s="706">
        <v>0</v>
      </c>
      <c r="P337" s="706">
        <v>0</v>
      </c>
      <c r="Q337" s="706">
        <v>0</v>
      </c>
      <c r="R337" s="706">
        <v>0</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G22013</v>
      </c>
      <c r="AK337" s="905" t="str">
        <f t="shared" si="31"/>
        <v>VENTES LOCATION SAUVAGEAU</v>
      </c>
      <c r="AL337" s="905">
        <f>IFERROR(INDEX(G337:R337,1,MATCH(Parametres!$B$3,G$1:R$1,0)-1)*IF(OR(F337="L",F337="S",F337="I"),-1,1),"")</f>
        <v>0</v>
      </c>
      <c r="AM337" s="905">
        <f t="shared" si="32"/>
        <v>0</v>
      </c>
      <c r="AN337" s="905">
        <f>INDEX(G337:R337,1,MATCH(Parametres!$B$3,G$1:R$1,0))*IF(OR(F337="L",F337="S",F337="I"),-1,1)</f>
        <v>0</v>
      </c>
      <c r="AO337" s="487" t="str">
        <f>+VLOOKUP($AJ337,Data_Validation!$A:$D,1,0)</f>
        <v>G22013</v>
      </c>
      <c r="AP337" s="487" t="str">
        <f>+VLOOKUP($AJ337,Data_Validation!$A:$D,3,0)</f>
        <v>Bilan</v>
      </c>
      <c r="AQ337" s="487" t="str">
        <f>+VLOOKUP($AJ337,Data_Validation!$A:$D,4,0)</f>
        <v>Recevables Véhicules</v>
      </c>
      <c r="AR337" s="487" t="s">
        <v>299</v>
      </c>
      <c r="AS337" s="487">
        <f>+VLOOKUP($AJ337,Data_Validation!$A:$E,5,0)</f>
        <v>0</v>
      </c>
      <c r="AT337" s="904" t="str">
        <f t="shared" si="33"/>
        <v>G22013</v>
      </c>
      <c r="AU337" s="488" t="str">
        <f t="shared" si="34"/>
        <v>VENTES LOCATION SAUVAGEAU</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1147</v>
      </c>
      <c r="B338" s="706">
        <v>2025</v>
      </c>
      <c r="C338" s="706" t="s">
        <v>1840</v>
      </c>
      <c r="D338" s="706" t="s">
        <v>1841</v>
      </c>
      <c r="E338" s="706" t="s">
        <v>336</v>
      </c>
      <c r="F338" s="706" t="s">
        <v>1135</v>
      </c>
      <c r="G338" s="706">
        <v>-129759.92</v>
      </c>
      <c r="H338" s="706">
        <v>126786.31</v>
      </c>
      <c r="I338" s="706">
        <v>465821.21</v>
      </c>
      <c r="J338" s="706">
        <v>743365.97</v>
      </c>
      <c r="K338" s="706">
        <v>39640.29</v>
      </c>
      <c r="L338" s="706">
        <v>445207.99</v>
      </c>
      <c r="M338" s="706">
        <v>263752.25</v>
      </c>
      <c r="N338" s="706">
        <v>-61635.03</v>
      </c>
      <c r="O338" s="706">
        <v>226545.89</v>
      </c>
      <c r="P338" s="706">
        <v>810603.78</v>
      </c>
      <c r="Q338" s="706">
        <v>976028.64</v>
      </c>
      <c r="R338" s="706">
        <v>271945.5</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G22014</v>
      </c>
      <c r="AK338" s="905" t="str">
        <f t="shared" si="31"/>
        <v>VENTES JIM PATTISON LEASE</v>
      </c>
      <c r="AL338" s="905">
        <f>IFERROR(INDEX(G338:R338,1,MATCH(Parametres!$B$3,G$1:R$1,0)-1)*IF(OR(F338="L",F338="S",F338="I"),-1,1),"")</f>
        <v>976028.64</v>
      </c>
      <c r="AM338" s="905">
        <f t="shared" si="32"/>
        <v>-704083.14</v>
      </c>
      <c r="AN338" s="905">
        <f>INDEX(G338:R338,1,MATCH(Parametres!$B$3,G$1:R$1,0))*IF(OR(F338="L",F338="S",F338="I"),-1,1)</f>
        <v>271945.5</v>
      </c>
      <c r="AO338" s="487" t="str">
        <f>+VLOOKUP($AJ338,Data_Validation!$A:$D,1,0)</f>
        <v>G22014</v>
      </c>
      <c r="AP338" s="487" t="str">
        <f>+VLOOKUP($AJ338,Data_Validation!$A:$D,3,0)</f>
        <v>Bilan</v>
      </c>
      <c r="AQ338" s="487" t="str">
        <f>+VLOOKUP($AJ338,Data_Validation!$A:$D,4,0)</f>
        <v>Recevables Véhicules</v>
      </c>
      <c r="AR338" s="487" t="s">
        <v>299</v>
      </c>
      <c r="AS338" s="487">
        <f>+VLOOKUP($AJ338,Data_Validation!$A:$E,5,0)</f>
        <v>0</v>
      </c>
      <c r="AT338" s="904" t="str">
        <f t="shared" si="33"/>
        <v>G22014</v>
      </c>
      <c r="AU338" s="488" t="str">
        <f t="shared" si="34"/>
        <v>VENTES JIM PATTISON LEASE</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1147</v>
      </c>
      <c r="B339" s="706">
        <v>2025</v>
      </c>
      <c r="C339" s="706" t="s">
        <v>1842</v>
      </c>
      <c r="D339" s="706" t="s">
        <v>1843</v>
      </c>
      <c r="E339" s="706" t="s">
        <v>336</v>
      </c>
      <c r="F339" s="706" t="s">
        <v>1135</v>
      </c>
      <c r="G339" s="706">
        <v>0</v>
      </c>
      <c r="H339" s="706">
        <v>0</v>
      </c>
      <c r="I339" s="706">
        <v>-90043.1</v>
      </c>
      <c r="J339" s="706">
        <v>0</v>
      </c>
      <c r="K339" s="706">
        <v>-51525.95</v>
      </c>
      <c r="L339" s="706">
        <v>0</v>
      </c>
      <c r="M339" s="706">
        <v>0</v>
      </c>
      <c r="N339" s="706">
        <v>0</v>
      </c>
      <c r="O339" s="706">
        <v>0</v>
      </c>
      <c r="P339" s="706">
        <v>121375.2</v>
      </c>
      <c r="Q339" s="706">
        <v>121375.2</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G22015</v>
      </c>
      <c r="AK339" s="905" t="str">
        <f t="shared" si="31"/>
        <v>VENTES 9515-1726 QC</v>
      </c>
      <c r="AL339" s="905">
        <f>IFERROR(INDEX(G339:R339,1,MATCH(Parametres!$B$3,G$1:R$1,0)-1)*IF(OR(F339="L",F339="S",F339="I"),-1,1),"")</f>
        <v>121375.2</v>
      </c>
      <c r="AM339" s="905">
        <f t="shared" si="32"/>
        <v>-121375.2</v>
      </c>
      <c r="AN339" s="905">
        <f>INDEX(G339:R339,1,MATCH(Parametres!$B$3,G$1:R$1,0))*IF(OR(F339="L",F339="S",F339="I"),-1,1)</f>
        <v>0</v>
      </c>
      <c r="AO339" s="487" t="str">
        <f>+VLOOKUP($AJ339,Data_Validation!$A:$D,1,0)</f>
        <v>G22015</v>
      </c>
      <c r="AP339" s="487" t="str">
        <f>+VLOOKUP($AJ339,Data_Validation!$A:$D,3,0)</f>
        <v>Bilan</v>
      </c>
      <c r="AQ339" s="487" t="str">
        <f>+VLOOKUP($AJ339,Data_Validation!$A:$D,4,0)</f>
        <v>Recevables Véhicules</v>
      </c>
      <c r="AR339" s="487" t="s">
        <v>299</v>
      </c>
      <c r="AS339" s="487">
        <f>+VLOOKUP($AJ339,Data_Validation!$A:$E,5,0)</f>
        <v>0</v>
      </c>
      <c r="AT339" s="904" t="str">
        <f t="shared" si="33"/>
        <v>G22015</v>
      </c>
      <c r="AU339" s="488" t="str">
        <f t="shared" si="34"/>
        <v>VENTES 9515-1726 QC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1147</v>
      </c>
      <c r="B340" s="706">
        <v>2025</v>
      </c>
      <c r="C340" s="706" t="s">
        <v>1844</v>
      </c>
      <c r="D340" s="706" t="s">
        <v>1845</v>
      </c>
      <c r="E340" s="706" t="s">
        <v>336</v>
      </c>
      <c r="F340" s="706" t="s">
        <v>1135</v>
      </c>
      <c r="G340" s="706">
        <v>0</v>
      </c>
      <c r="H340" s="706">
        <v>0</v>
      </c>
      <c r="I340" s="706">
        <v>0</v>
      </c>
      <c r="J340" s="706">
        <v>0</v>
      </c>
      <c r="K340" s="706">
        <v>0</v>
      </c>
      <c r="L340" s="706">
        <v>0</v>
      </c>
      <c r="M340" s="706">
        <v>0</v>
      </c>
      <c r="N340" s="706">
        <v>0</v>
      </c>
      <c r="O340" s="706">
        <v>0</v>
      </c>
      <c r="P340" s="706">
        <v>-2060091.44</v>
      </c>
      <c r="Q340" s="706">
        <v>17678.28</v>
      </c>
      <c r="R340" s="706">
        <v>-477100.86</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G22016</v>
      </c>
      <c r="AK340" s="905" t="str">
        <f t="shared" si="31"/>
        <v>9482-3176 QUEBEC INC</v>
      </c>
      <c r="AL340" s="905">
        <f>IFERROR(INDEX(G340:R340,1,MATCH(Parametres!$B$3,G$1:R$1,0)-1)*IF(OR(F340="L",F340="S",F340="I"),-1,1),"")</f>
        <v>17678.28</v>
      </c>
      <c r="AM340" s="905">
        <f t="shared" si="32"/>
        <v>-494779.14</v>
      </c>
      <c r="AN340" s="905">
        <f>INDEX(G340:R340,1,MATCH(Parametres!$B$3,G$1:R$1,0))*IF(OR(F340="L",F340="S",F340="I"),-1,1)</f>
        <v>-477100.86</v>
      </c>
      <c r="AO340" s="487" t="str">
        <f>+VLOOKUP($AJ340,Data_Validation!$A:$D,1,0)</f>
        <v>G22016</v>
      </c>
      <c r="AP340" s="487" t="str">
        <f>+VLOOKUP($AJ340,Data_Validation!$A:$D,3,0)</f>
        <v>Bilan</v>
      </c>
      <c r="AQ340" s="487" t="str">
        <f>+VLOOKUP($AJ340,Data_Validation!$A:$D,4,0)</f>
        <v>Recevables Véhicules</v>
      </c>
      <c r="AR340" s="487" t="s">
        <v>299</v>
      </c>
      <c r="AS340" s="487">
        <f>+VLOOKUP($AJ340,Data_Validation!$A:$E,5,0)</f>
        <v>0</v>
      </c>
      <c r="AT340" s="904" t="str">
        <f t="shared" si="33"/>
        <v>G22016</v>
      </c>
      <c r="AU340" s="488" t="str">
        <f t="shared" si="34"/>
        <v>9482-3176 QUEBEC INC</v>
      </c>
      <c r="AV340" s="899">
        <f>IFERROR(INDEX(V340:AG340,1,MATCH(Parametres!$B$3,V$1:AG$1,0)-1)*IF(OR(C340="L",C340="S",C340="I"),-1,1),"")</f>
        <v>0</v>
      </c>
      <c r="AW340" s="899">
        <f t="shared" si="35"/>
        <v>0</v>
      </c>
      <c r="AX340" s="899">
        <f>INDEX(V340:AG340,1,MATCH(Parametres!$B$3,V$1:AG$1,0))*IF(OR(C340="L",C340="S",C340="I"),-1,1)</f>
        <v>0</v>
      </c>
      <c r="AY340" s="487" t="s">
        <v>337</v>
      </c>
      <c r="AZ340" s="487">
        <f>+VLOOKUP($AJ340,Data_Validation!$A:$E,5,0)</f>
        <v>0</v>
      </c>
    </row>
    <row r="341" spans="1:52" ht="15" customHeight="1">
      <c r="A341" s="706" t="s">
        <v>1147</v>
      </c>
      <c r="B341" s="706">
        <v>2025</v>
      </c>
      <c r="C341" s="706" t="s">
        <v>1846</v>
      </c>
      <c r="D341" s="706" t="s">
        <v>1847</v>
      </c>
      <c r="E341" s="706" t="s">
        <v>336</v>
      </c>
      <c r="F341" s="706" t="s">
        <v>1135</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G22017</v>
      </c>
      <c r="AK341" s="905" t="str">
        <f t="shared" si="31"/>
        <v>VENTES EMKAY INC</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G22017</v>
      </c>
      <c r="AU341" s="488" t="str">
        <f t="shared" si="34"/>
        <v>VENTES EMKAY INC</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customHeight="1">
      <c r="A342" s="706" t="s">
        <v>1147</v>
      </c>
      <c r="B342" s="706">
        <v>2025</v>
      </c>
      <c r="C342" s="706" t="s">
        <v>1848</v>
      </c>
      <c r="D342" s="706" t="s">
        <v>1849</v>
      </c>
      <c r="E342" s="706" t="s">
        <v>336</v>
      </c>
      <c r="F342" s="706" t="s">
        <v>1135</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G22020</v>
      </c>
      <c r="AK342" s="905" t="str">
        <f t="shared" si="31"/>
        <v>VENTES STE-MARIE</v>
      </c>
      <c r="AL342" s="905">
        <f>IFERROR(INDEX(G342:R342,1,MATCH(Parametres!$B$3,G$1:R$1,0)-1)*IF(OR(F342="L",F342="S",F342="I"),-1,1),"")</f>
        <v>0</v>
      </c>
      <c r="AM342" s="905">
        <f t="shared" si="32"/>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G22020</v>
      </c>
      <c r="AU342" s="488" t="str">
        <f t="shared" si="34"/>
        <v>VENTES STE-MARIE</v>
      </c>
      <c r="AV342" s="899">
        <f>IFERROR(INDEX(V342:AG342,1,MATCH(Parametres!$B$3,V$1:AG$1,0)-1)*IF(OR(C342="L",C342="S",C342="I"),-1,1),"")</f>
        <v>0</v>
      </c>
      <c r="AW342" s="899">
        <f t="shared" si="35"/>
        <v>0</v>
      </c>
      <c r="AX342" s="899">
        <f>INDEX(V342:AG342,1,MATCH(Parametres!$B$3,V$1:AG$1,0))*IF(OR(C342="L",C342="S",C342="I"),-1,1)</f>
        <v>0</v>
      </c>
      <c r="AY342" s="487" t="s">
        <v>337</v>
      </c>
      <c r="AZ342" s="487" t="e">
        <f>+VLOOKUP($AJ342,Data_Validation!$A:$E,5,0)</f>
        <v>#N/A</v>
      </c>
    </row>
    <row r="343" spans="1:52" ht="15.75" hidden="1" customHeight="1">
      <c r="A343" s="706" t="s">
        <v>1147</v>
      </c>
      <c r="B343" s="706">
        <v>2025</v>
      </c>
      <c r="C343" s="706" t="s">
        <v>1850</v>
      </c>
      <c r="D343" s="706" t="s">
        <v>1851</v>
      </c>
      <c r="E343" s="706" t="s">
        <v>336</v>
      </c>
      <c r="F343" s="706" t="s">
        <v>1135</v>
      </c>
      <c r="G343" s="706">
        <v>901699.24</v>
      </c>
      <c r="H343" s="706">
        <v>522575.11</v>
      </c>
      <c r="I343" s="706">
        <v>0</v>
      </c>
      <c r="J343" s="706">
        <v>349281.75</v>
      </c>
      <c r="K343" s="706">
        <v>424368.22</v>
      </c>
      <c r="L343" s="706">
        <v>1034421.61</v>
      </c>
      <c r="M343" s="706">
        <v>0</v>
      </c>
      <c r="N343" s="706">
        <v>-66501.23</v>
      </c>
      <c r="O343" s="706">
        <v>0</v>
      </c>
      <c r="P343" s="706">
        <v>200479.65</v>
      </c>
      <c r="Q343" s="706">
        <v>68950.350000000006</v>
      </c>
      <c r="R343" s="706">
        <v>369510.74</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G22030</v>
      </c>
      <c r="AK343" s="905" t="str">
        <f t="shared" si="31"/>
        <v>VENTES HAWKESBURY</v>
      </c>
      <c r="AL343" s="905">
        <f>IFERROR(INDEX(G343:R343,1,MATCH(Parametres!$B$3,G$1:R$1,0)-1)*IF(OR(F343="L",F343="S",F343="I"),-1,1),"")</f>
        <v>68950.350000000006</v>
      </c>
      <c r="AM343" s="905">
        <f t="shared" si="32"/>
        <v>300560.39</v>
      </c>
      <c r="AN343" s="905">
        <f>INDEX(G343:R343,1,MATCH(Parametres!$B$3,G$1:R$1,0))*IF(OR(F343="L",F343="S",F343="I"),-1,1)</f>
        <v>369510.74</v>
      </c>
      <c r="AO343" s="487" t="str">
        <f>+VLOOKUP($AJ343,Data_Validation!$A:$D,1,0)</f>
        <v>G22030</v>
      </c>
      <c r="AP343" s="487" t="str">
        <f>+VLOOKUP($AJ343,Data_Validation!$A:$D,3,0)</f>
        <v>Bilan</v>
      </c>
      <c r="AQ343" s="487" t="str">
        <f>+VLOOKUP($AJ343,Data_Validation!$A:$D,4,0)</f>
        <v>Recevables Intercos</v>
      </c>
      <c r="AR343" s="487" t="s">
        <v>299</v>
      </c>
      <c r="AS343" s="487">
        <f>+VLOOKUP($AJ343,Data_Validation!$A:$E,5,0)</f>
        <v>0</v>
      </c>
      <c r="AT343" s="904" t="str">
        <f t="shared" si="33"/>
        <v>G22030</v>
      </c>
      <c r="AU343" s="488" t="str">
        <f t="shared" si="34"/>
        <v>VENTES HAWKESBURY</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1147</v>
      </c>
      <c r="B344" s="706">
        <v>2025</v>
      </c>
      <c r="C344" s="706" t="s">
        <v>1852</v>
      </c>
      <c r="D344" s="706" t="s">
        <v>1853</v>
      </c>
      <c r="E344" s="706" t="s">
        <v>336</v>
      </c>
      <c r="F344" s="706" t="s">
        <v>1135</v>
      </c>
      <c r="G344" s="706">
        <v>0</v>
      </c>
      <c r="H344" s="706">
        <v>0</v>
      </c>
      <c r="I344" s="706">
        <v>0</v>
      </c>
      <c r="J344" s="706">
        <v>0</v>
      </c>
      <c r="K344" s="706">
        <v>0</v>
      </c>
      <c r="L344" s="706">
        <v>0</v>
      </c>
      <c r="M344" s="706">
        <v>0</v>
      </c>
      <c r="N344" s="706">
        <v>0</v>
      </c>
      <c r="O344" s="706">
        <v>0</v>
      </c>
      <c r="P344" s="706">
        <v>0</v>
      </c>
      <c r="Q344" s="706">
        <v>0</v>
      </c>
      <c r="R344" s="706">
        <v>0</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G22035</v>
      </c>
      <c r="AK344" s="905" t="str">
        <f t="shared" si="31"/>
        <v>INTERCO BMW SHERBROOKE</v>
      </c>
      <c r="AL344" s="905">
        <f>IFERROR(INDEX(G344:R344,1,MATCH(Parametres!$B$3,G$1:R$1,0)-1)*IF(OR(F344="L",F344="S",F344="I"),-1,1),"")</f>
        <v>0</v>
      </c>
      <c r="AM344" s="905">
        <f t="shared" si="32"/>
        <v>0</v>
      </c>
      <c r="AN344" s="905">
        <f>INDEX(G344:R344,1,MATCH(Parametres!$B$3,G$1:R$1,0))*IF(OR(F344="L",F344="S",F344="I"),-1,1)</f>
        <v>0</v>
      </c>
      <c r="AO344" s="487" t="str">
        <f>+VLOOKUP($AJ344,Data_Validation!$A:$D,1,0)</f>
        <v>G22035</v>
      </c>
      <c r="AP344" s="487" t="str">
        <f>+VLOOKUP($AJ344,Data_Validation!$A:$D,3,0)</f>
        <v>Bilan</v>
      </c>
      <c r="AQ344" s="487" t="str">
        <f>+VLOOKUP($AJ344,Data_Validation!$A:$D,4,0)</f>
        <v>Recevables Intercos</v>
      </c>
      <c r="AR344" s="487" t="s">
        <v>299</v>
      </c>
      <c r="AS344" s="487">
        <f>+VLOOKUP($AJ344,Data_Validation!$A:$E,5,0)</f>
        <v>0</v>
      </c>
      <c r="AT344" s="904" t="str">
        <f t="shared" si="33"/>
        <v>G22035</v>
      </c>
      <c r="AU344" s="488" t="str">
        <f t="shared" si="34"/>
        <v>INTERCO BMW SHERBROOKE</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1147</v>
      </c>
      <c r="B345" s="706">
        <v>2025</v>
      </c>
      <c r="C345" s="706" t="s">
        <v>1854</v>
      </c>
      <c r="D345" s="706" t="s">
        <v>1855</v>
      </c>
      <c r="E345" s="706" t="s">
        <v>336</v>
      </c>
      <c r="F345" s="706" t="s">
        <v>1135</v>
      </c>
      <c r="G345" s="706">
        <v>357290.85</v>
      </c>
      <c r="H345" s="706">
        <v>977813.04</v>
      </c>
      <c r="I345" s="706">
        <v>1661977.03</v>
      </c>
      <c r="J345" s="706">
        <v>1165251.27</v>
      </c>
      <c r="K345" s="706">
        <v>1156021.21</v>
      </c>
      <c r="L345" s="706">
        <v>749008.06</v>
      </c>
      <c r="M345" s="706">
        <v>-3645.59</v>
      </c>
      <c r="N345" s="706">
        <v>-3645.59</v>
      </c>
      <c r="O345" s="706">
        <v>249861.53</v>
      </c>
      <c r="P345" s="706">
        <v>1091139.44</v>
      </c>
      <c r="Q345" s="706">
        <v>1227800</v>
      </c>
      <c r="R345" s="706">
        <v>394766.5</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G22040</v>
      </c>
      <c r="AK345" s="905" t="str">
        <f t="shared" si="31"/>
        <v>VENTES LOCATION LMB INC</v>
      </c>
      <c r="AL345" s="905">
        <f>IFERROR(INDEX(G345:R345,1,MATCH(Parametres!$B$3,G$1:R$1,0)-1)*IF(OR(F345="L",F345="S",F345="I"),-1,1),"")</f>
        <v>1227800</v>
      </c>
      <c r="AM345" s="905">
        <f t="shared" si="32"/>
        <v>-833033.5</v>
      </c>
      <c r="AN345" s="905">
        <f>INDEX(G345:R345,1,MATCH(Parametres!$B$3,G$1:R$1,0))*IF(OR(F345="L",F345="S",F345="I"),-1,1)</f>
        <v>394766.5</v>
      </c>
      <c r="AO345" s="487" t="str">
        <f>+VLOOKUP($AJ345,Data_Validation!$A:$D,1,0)</f>
        <v>G22040</v>
      </c>
      <c r="AP345" s="487" t="str">
        <f>+VLOOKUP($AJ345,Data_Validation!$A:$D,3,0)</f>
        <v>Bilan</v>
      </c>
      <c r="AQ345" s="487" t="str">
        <f>+VLOOKUP($AJ345,Data_Validation!$A:$D,4,0)</f>
        <v>Recevables Intercos</v>
      </c>
      <c r="AR345" s="487" t="s">
        <v>299</v>
      </c>
      <c r="AS345" s="487">
        <f>+VLOOKUP($AJ345,Data_Validation!$A:$E,5,0)</f>
        <v>0</v>
      </c>
      <c r="AT345" s="904" t="str">
        <f t="shared" si="33"/>
        <v>G22040</v>
      </c>
      <c r="AU345" s="488" t="str">
        <f t="shared" si="34"/>
        <v>VENTES LOCATION LMB INC</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1147</v>
      </c>
      <c r="B346" s="706">
        <v>2025</v>
      </c>
      <c r="C346" s="706" t="s">
        <v>1856</v>
      </c>
      <c r="D346" s="706" t="s">
        <v>1857</v>
      </c>
      <c r="E346" s="706" t="s">
        <v>336</v>
      </c>
      <c r="F346" s="706" t="s">
        <v>1135</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G22045</v>
      </c>
      <c r="AK346" s="905" t="str">
        <f t="shared" si="31"/>
        <v>INTERCO VOLKS BROSSARD</v>
      </c>
      <c r="AL346" s="905">
        <f>IFERROR(INDEX(G346:R346,1,MATCH(Parametres!$B$3,G$1:R$1,0)-1)*IF(OR(F346="L",F346="S",F346="I"),-1,1),"")</f>
        <v>0</v>
      </c>
      <c r="AM346" s="905">
        <f t="shared" si="32"/>
        <v>0</v>
      </c>
      <c r="AN346" s="905">
        <f>INDEX(G346:R346,1,MATCH(Parametres!$B$3,G$1:R$1,0))*IF(OR(F346="L",F346="S",F346="I"),-1,1)</f>
        <v>0</v>
      </c>
      <c r="AO346" s="487" t="str">
        <f>+VLOOKUP($AJ346,Data_Validation!$A:$D,1,0)</f>
        <v>G22045</v>
      </c>
      <c r="AP346" s="487" t="str">
        <f>+VLOOKUP($AJ346,Data_Validation!$A:$D,3,0)</f>
        <v>Bilan</v>
      </c>
      <c r="AQ346" s="487" t="str">
        <f>+VLOOKUP($AJ346,Data_Validation!$A:$D,4,0)</f>
        <v>Recevables Intercos</v>
      </c>
      <c r="AR346" s="487" t="s">
        <v>299</v>
      </c>
      <c r="AS346" s="487">
        <f>+VLOOKUP($AJ346,Data_Validation!$A:$E,5,0)</f>
        <v>0</v>
      </c>
      <c r="AT346" s="904" t="str">
        <f t="shared" si="33"/>
        <v>G22045</v>
      </c>
      <c r="AU346" s="488" t="str">
        <f t="shared" si="34"/>
        <v>INTERCO VOLKS BROSSARD</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1147</v>
      </c>
      <c r="B347" s="706">
        <v>2025</v>
      </c>
      <c r="C347" s="706" t="s">
        <v>1858</v>
      </c>
      <c r="D347" s="706" t="s">
        <v>1859</v>
      </c>
      <c r="E347" s="706" t="s">
        <v>336</v>
      </c>
      <c r="F347" s="706" t="s">
        <v>1135</v>
      </c>
      <c r="G347" s="706">
        <v>0</v>
      </c>
      <c r="H347" s="706">
        <v>0</v>
      </c>
      <c r="I347" s="706">
        <v>0</v>
      </c>
      <c r="J347" s="706">
        <v>0</v>
      </c>
      <c r="K347" s="706">
        <v>0</v>
      </c>
      <c r="L347" s="706">
        <v>0</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G22050</v>
      </c>
      <c r="AK347" s="905" t="str">
        <f t="shared" si="31"/>
        <v>VENTES HYUNDAI ST-CONSTAN</v>
      </c>
      <c r="AL347" s="905">
        <f>IFERROR(INDEX(G347:R347,1,MATCH(Parametres!$B$3,G$1:R$1,0)-1)*IF(OR(F347="L",F347="S",F347="I"),-1,1),"")</f>
        <v>0</v>
      </c>
      <c r="AM347" s="905">
        <f t="shared" si="32"/>
        <v>0</v>
      </c>
      <c r="AN347" s="905">
        <f>INDEX(G347:R347,1,MATCH(Parametres!$B$3,G$1:R$1,0))*IF(OR(F347="L",F347="S",F347="I"),-1,1)</f>
        <v>0</v>
      </c>
      <c r="AO347" s="487" t="str">
        <f>+VLOOKUP($AJ347,Data_Validation!$A:$D,1,0)</f>
        <v>G22050</v>
      </c>
      <c r="AP347" s="487" t="str">
        <f>+VLOOKUP($AJ347,Data_Validation!$A:$D,3,0)</f>
        <v>Bilan</v>
      </c>
      <c r="AQ347" s="487" t="str">
        <f>+VLOOKUP($AJ347,Data_Validation!$A:$D,4,0)</f>
        <v>Recevables Véhicules</v>
      </c>
      <c r="AR347" s="487" t="s">
        <v>299</v>
      </c>
      <c r="AS347" s="487">
        <f>+VLOOKUP($AJ347,Data_Validation!$A:$E,5,0)</f>
        <v>0</v>
      </c>
      <c r="AT347" s="904" t="str">
        <f t="shared" si="33"/>
        <v>G22050</v>
      </c>
      <c r="AU347" s="488" t="str">
        <f t="shared" si="34"/>
        <v>VENTES HYUNDAI ST-CONSTAN</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1147</v>
      </c>
      <c r="B348" s="706">
        <v>2025</v>
      </c>
      <c r="C348" s="706" t="s">
        <v>1860</v>
      </c>
      <c r="D348" s="706" t="s">
        <v>1861</v>
      </c>
      <c r="E348" s="706" t="s">
        <v>336</v>
      </c>
      <c r="F348" s="706" t="s">
        <v>1135</v>
      </c>
      <c r="G348" s="706">
        <v>111654.63</v>
      </c>
      <c r="H348" s="706">
        <v>0</v>
      </c>
      <c r="I348" s="706">
        <v>1266727.28</v>
      </c>
      <c r="J348" s="706">
        <v>299543.74</v>
      </c>
      <c r="K348" s="706">
        <v>265253.07</v>
      </c>
      <c r="L348" s="706">
        <v>1058852.19</v>
      </c>
      <c r="M348" s="706">
        <v>7320.05</v>
      </c>
      <c r="N348" s="706">
        <v>12997.11</v>
      </c>
      <c r="O348" s="706">
        <v>133773.47</v>
      </c>
      <c r="P348" s="706">
        <v>674959.51</v>
      </c>
      <c r="Q348" s="706">
        <v>299606.03999999998</v>
      </c>
      <c r="R348" s="706">
        <v>5676.9</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G22055</v>
      </c>
      <c r="AK348" s="905" t="str">
        <f t="shared" si="31"/>
        <v>VENTES Y.M. DESMARRAIS</v>
      </c>
      <c r="AL348" s="905">
        <f>IFERROR(INDEX(G348:R348,1,MATCH(Parametres!$B$3,G$1:R$1,0)-1)*IF(OR(F348="L",F348="S",F348="I"),-1,1),"")</f>
        <v>299606.03999999998</v>
      </c>
      <c r="AM348" s="905">
        <f t="shared" si="32"/>
        <v>-293929.13999999996</v>
      </c>
      <c r="AN348" s="905">
        <f>INDEX(G348:R348,1,MATCH(Parametres!$B$3,G$1:R$1,0))*IF(OR(F348="L",F348="S",F348="I"),-1,1)</f>
        <v>5676.9</v>
      </c>
      <c r="AO348" s="487" t="str">
        <f>+VLOOKUP($AJ348,Data_Validation!$A:$D,1,0)</f>
        <v>G22055</v>
      </c>
      <c r="AP348" s="487" t="str">
        <f>+VLOOKUP($AJ348,Data_Validation!$A:$D,3,0)</f>
        <v>Bilan</v>
      </c>
      <c r="AQ348" s="487" t="str">
        <f>+VLOOKUP($AJ348,Data_Validation!$A:$D,4,0)</f>
        <v>Recevables Véhicules</v>
      </c>
      <c r="AR348" s="487" t="s">
        <v>299</v>
      </c>
      <c r="AS348" s="487">
        <f>+VLOOKUP($AJ348,Data_Validation!$A:$E,5,0)</f>
        <v>0</v>
      </c>
      <c r="AT348" s="904" t="str">
        <f t="shared" si="33"/>
        <v>G22055</v>
      </c>
      <c r="AU348" s="488" t="str">
        <f t="shared" si="34"/>
        <v>VENTES Y.M. DESMARRAIS</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1147</v>
      </c>
      <c r="B349" s="706">
        <v>2025</v>
      </c>
      <c r="C349" s="706" t="s">
        <v>1862</v>
      </c>
      <c r="D349" s="706" t="s">
        <v>1863</v>
      </c>
      <c r="E349" s="706" t="s">
        <v>336</v>
      </c>
      <c r="F349" s="706" t="s">
        <v>1135</v>
      </c>
      <c r="G349" s="706">
        <v>435406</v>
      </c>
      <c r="H349" s="706">
        <v>125756.8</v>
      </c>
      <c r="I349" s="706">
        <v>136776.54999999999</v>
      </c>
      <c r="J349" s="706">
        <v>739034.5</v>
      </c>
      <c r="K349" s="706">
        <v>500553.25</v>
      </c>
      <c r="L349" s="706">
        <v>692959.05</v>
      </c>
      <c r="M349" s="706">
        <v>86068.5</v>
      </c>
      <c r="N349" s="706">
        <v>101751.3</v>
      </c>
      <c r="O349" s="706">
        <v>101309.73</v>
      </c>
      <c r="P349" s="706">
        <v>613632.03</v>
      </c>
      <c r="Q349" s="706">
        <v>703313.11</v>
      </c>
      <c r="R349" s="706">
        <v>42552.3</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G22060</v>
      </c>
      <c r="AK349" s="905" t="str">
        <f t="shared" si="31"/>
        <v>VENTES SIMPLICITÉ</v>
      </c>
      <c r="AL349" s="905">
        <f>IFERROR(INDEX(G349:R349,1,MATCH(Parametres!$B$3,G$1:R$1,0)-1)*IF(OR(F349="L",F349="S",F349="I"),-1,1),"")</f>
        <v>703313.11</v>
      </c>
      <c r="AM349" s="905">
        <f t="shared" si="32"/>
        <v>-660760.80999999994</v>
      </c>
      <c r="AN349" s="905">
        <f>INDEX(G349:R349,1,MATCH(Parametres!$B$3,G$1:R$1,0))*IF(OR(F349="L",F349="S",F349="I"),-1,1)</f>
        <v>42552.3</v>
      </c>
      <c r="AO349" s="487" t="str">
        <f>+VLOOKUP($AJ349,Data_Validation!$A:$D,1,0)</f>
        <v>G22060</v>
      </c>
      <c r="AP349" s="487" t="str">
        <f>+VLOOKUP($AJ349,Data_Validation!$A:$D,3,0)</f>
        <v>Bilan</v>
      </c>
      <c r="AQ349" s="487" t="str">
        <f>+VLOOKUP($AJ349,Data_Validation!$A:$D,4,0)</f>
        <v>Recevables Véhicules</v>
      </c>
      <c r="AR349" s="487" t="s">
        <v>299</v>
      </c>
      <c r="AS349" s="487">
        <f>+VLOOKUP($AJ349,Data_Validation!$A:$E,5,0)</f>
        <v>0</v>
      </c>
      <c r="AT349" s="904" t="str">
        <f t="shared" si="33"/>
        <v>G22060</v>
      </c>
      <c r="AU349" s="488" t="str">
        <f t="shared" si="34"/>
        <v>VENTES SIMPLICITÉ</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1147</v>
      </c>
      <c r="B350" s="706">
        <v>2025</v>
      </c>
      <c r="C350" s="706" t="s">
        <v>1864</v>
      </c>
      <c r="D350" s="706" t="s">
        <v>1865</v>
      </c>
      <c r="E350" s="706" t="s">
        <v>1138</v>
      </c>
      <c r="F350" s="706" t="s">
        <v>1135</v>
      </c>
      <c r="G350" s="706">
        <v>0</v>
      </c>
      <c r="H350" s="706">
        <v>0</v>
      </c>
      <c r="I350" s="706">
        <v>0</v>
      </c>
      <c r="J350" s="706">
        <v>278.81</v>
      </c>
      <c r="K350" s="706">
        <v>278.81</v>
      </c>
      <c r="L350" s="706">
        <v>278.81</v>
      </c>
      <c r="M350" s="706">
        <v>278.81</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G22070</v>
      </c>
      <c r="AK350" s="905" t="str">
        <f t="shared" si="31"/>
        <v>GLOBE ST-CONSTANT</v>
      </c>
      <c r="AL350" s="905">
        <f>IFERROR(INDEX(G350:R350,1,MATCH(Parametres!$B$3,G$1:R$1,0)-1)*IF(OR(F350="L",F350="S",F350="I"),-1,1),"")</f>
        <v>0</v>
      </c>
      <c r="AM350" s="905">
        <f t="shared" si="32"/>
        <v>0</v>
      </c>
      <c r="AN350" s="905">
        <f>INDEX(G350:R350,1,MATCH(Parametres!$B$3,G$1:R$1,0))*IF(OR(F350="L",F350="S",F350="I"),-1,1)</f>
        <v>0</v>
      </c>
      <c r="AO350" s="487" t="str">
        <f>+VLOOKUP($AJ350,Data_Validation!$A:$D,1,0)</f>
        <v>G22070</v>
      </c>
      <c r="AP350" s="487" t="str">
        <f>+VLOOKUP($AJ350,Data_Validation!$A:$D,3,0)</f>
        <v>Bilan</v>
      </c>
      <c r="AQ350" s="487" t="str">
        <f>+VLOOKUP($AJ350,Data_Validation!$A:$D,4,0)</f>
        <v>Recevables Véhicules</v>
      </c>
      <c r="AR350" s="487" t="s">
        <v>299</v>
      </c>
      <c r="AS350" s="487">
        <f>+VLOOKUP($AJ350,Data_Validation!$A:$E,5,0)</f>
        <v>0</v>
      </c>
      <c r="AT350" s="904" t="str">
        <f t="shared" si="33"/>
        <v>G22070</v>
      </c>
      <c r="AU350" s="488" t="str">
        <f t="shared" si="34"/>
        <v>GLOBE ST-CONSTANT</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customHeight="1">
      <c r="A351" s="706" t="s">
        <v>1147</v>
      </c>
      <c r="B351" s="706">
        <v>2025</v>
      </c>
      <c r="C351" s="706" t="s">
        <v>1866</v>
      </c>
      <c r="D351" s="706" t="s">
        <v>1867</v>
      </c>
      <c r="E351" s="706" t="s">
        <v>1138</v>
      </c>
      <c r="F351" s="706" t="s">
        <v>1135</v>
      </c>
      <c r="G351" s="706">
        <v>0</v>
      </c>
      <c r="H351" s="706">
        <v>0</v>
      </c>
      <c r="I351" s="706">
        <v>0</v>
      </c>
      <c r="J351" s="706">
        <v>0</v>
      </c>
      <c r="K351" s="706">
        <v>0</v>
      </c>
      <c r="L351" s="706">
        <v>0</v>
      </c>
      <c r="M351" s="706">
        <v>0</v>
      </c>
      <c r="N351" s="706">
        <v>0</v>
      </c>
      <c r="O351" s="706">
        <v>-53807.73</v>
      </c>
      <c r="P351" s="706">
        <v>1500</v>
      </c>
      <c r="Q351" s="706">
        <v>1500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G22080</v>
      </c>
      <c r="AK351" s="905" t="str">
        <f t="shared" si="31"/>
        <v>GLOBE MONT-ROYAL</v>
      </c>
      <c r="AL351" s="905">
        <f>IFERROR(INDEX(G351:R351,1,MATCH(Parametres!$B$3,G$1:R$1,0)-1)*IF(OR(F351="L",F351="S",F351="I"),-1,1),"")</f>
        <v>1500</v>
      </c>
      <c r="AM351" s="905">
        <f t="shared" si="32"/>
        <v>-1500</v>
      </c>
      <c r="AN351" s="905">
        <f>INDEX(G351:R351,1,MATCH(Parametres!$B$3,G$1:R$1,0))*IF(OR(F351="L",F351="S",F351="I"),-1,1)</f>
        <v>0</v>
      </c>
      <c r="AO351" s="487" t="str">
        <f>+VLOOKUP($AJ351,Data_Validation!$A:$D,1,0)</f>
        <v>G22080</v>
      </c>
      <c r="AP351" s="487">
        <f>+VLOOKUP($AJ351,Data_Validation!$A:$D,3,0)</f>
        <v>0</v>
      </c>
      <c r="AQ351" s="487">
        <f>+VLOOKUP($AJ351,Data_Validation!$A:$D,4,0)</f>
        <v>0</v>
      </c>
      <c r="AR351" s="487" t="s">
        <v>299</v>
      </c>
      <c r="AS351" s="487">
        <f>+VLOOKUP($AJ351,Data_Validation!$A:$E,5,0)</f>
        <v>0</v>
      </c>
      <c r="AT351" s="904" t="str">
        <f t="shared" si="33"/>
        <v>G22080</v>
      </c>
      <c r="AU351" s="488" t="str">
        <f t="shared" si="34"/>
        <v>GLOBE MONT-ROYAL</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1147</v>
      </c>
      <c r="B352" s="706">
        <v>2025</v>
      </c>
      <c r="C352" s="706" t="s">
        <v>1868</v>
      </c>
      <c r="D352" s="706" t="s">
        <v>1869</v>
      </c>
      <c r="E352" s="706" t="s">
        <v>1138</v>
      </c>
      <c r="F352" s="706" t="s">
        <v>1135</v>
      </c>
      <c r="G352" s="706">
        <v>1437066.75</v>
      </c>
      <c r="H352" s="706">
        <v>1122751.17</v>
      </c>
      <c r="I352" s="706">
        <v>1097764.82</v>
      </c>
      <c r="J352" s="706">
        <v>1067297.08</v>
      </c>
      <c r="K352" s="706">
        <v>1671139.99</v>
      </c>
      <c r="L352" s="706">
        <v>1033020.5</v>
      </c>
      <c r="M352" s="706">
        <v>45619.57</v>
      </c>
      <c r="N352" s="706">
        <v>54254.26</v>
      </c>
      <c r="O352" s="706">
        <v>1099393.99</v>
      </c>
      <c r="P352" s="706">
        <v>1220827.54</v>
      </c>
      <c r="Q352" s="706">
        <v>1850950.89</v>
      </c>
      <c r="R352" s="706">
        <v>139324.39000000001</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G22090</v>
      </c>
      <c r="AK352" s="905" t="str">
        <f t="shared" si="31"/>
        <v>159191 CANADA INC.</v>
      </c>
      <c r="AL352" s="905">
        <f>IFERROR(INDEX(G352:R352,1,MATCH(Parametres!$B$3,G$1:R$1,0)-1)*IF(OR(F352="L",F352="S",F352="I"),-1,1),"")</f>
        <v>1850950.89</v>
      </c>
      <c r="AM352" s="905">
        <f t="shared" si="32"/>
        <v>-1711626.5</v>
      </c>
      <c r="AN352" s="905">
        <f>INDEX(G352:R352,1,MATCH(Parametres!$B$3,G$1:R$1,0))*IF(OR(F352="L",F352="S",F352="I"),-1,1)</f>
        <v>139324.39000000001</v>
      </c>
      <c r="AO352" s="487" t="str">
        <f>+VLOOKUP($AJ352,Data_Validation!$A:$D,1,0)</f>
        <v>G22090</v>
      </c>
      <c r="AP352" s="487" t="str">
        <f>+VLOOKUP($AJ352,Data_Validation!$A:$D,3,0)</f>
        <v>Bilan</v>
      </c>
      <c r="AQ352" s="487" t="str">
        <f>+VLOOKUP($AJ352,Data_Validation!$A:$D,4,0)</f>
        <v>Recevables Véhicules</v>
      </c>
      <c r="AR352" s="487" t="s">
        <v>299</v>
      </c>
      <c r="AS352" s="487">
        <f>+VLOOKUP($AJ352,Data_Validation!$A:$E,5,0)</f>
        <v>0</v>
      </c>
      <c r="AT352" s="904" t="str">
        <f t="shared" si="33"/>
        <v>G22090</v>
      </c>
      <c r="AU352" s="488" t="str">
        <f t="shared" si="34"/>
        <v>159191 CANADA INC.</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1147</v>
      </c>
      <c r="B353" s="706">
        <v>2025</v>
      </c>
      <c r="C353" s="706" t="s">
        <v>1870</v>
      </c>
      <c r="D353" s="706" t="s">
        <v>1871</v>
      </c>
      <c r="E353" s="706" t="s">
        <v>1135</v>
      </c>
      <c r="F353" s="706" t="s">
        <v>1135</v>
      </c>
      <c r="G353" s="706">
        <v>173891.21</v>
      </c>
      <c r="H353" s="706">
        <v>295689.95</v>
      </c>
      <c r="I353" s="706">
        <v>568588.41</v>
      </c>
      <c r="J353" s="706">
        <v>193018</v>
      </c>
      <c r="K353" s="706">
        <v>-393693.51</v>
      </c>
      <c r="L353" s="706">
        <v>-275020.27</v>
      </c>
      <c r="M353" s="706">
        <v>1778556.63</v>
      </c>
      <c r="N353" s="706">
        <v>1225828.3400000001</v>
      </c>
      <c r="O353" s="706">
        <v>307363.09999999998</v>
      </c>
      <c r="P353" s="706">
        <v>484070.6</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G22130</v>
      </c>
      <c r="AK353" s="905" t="str">
        <f t="shared" si="31"/>
        <v>INTERCO HAWKSBURY GM</v>
      </c>
      <c r="AL353" s="905">
        <f>IFERROR(INDEX(G353:R353,1,MATCH(Parametres!$B$3,G$1:R$1,0)-1)*IF(OR(F353="L",F353="S",F353="I"),-1,1),"")</f>
        <v>0</v>
      </c>
      <c r="AM353" s="905">
        <f t="shared" si="32"/>
        <v>0</v>
      </c>
      <c r="AN353" s="905">
        <f>INDEX(G353:R353,1,MATCH(Parametres!$B$3,G$1:R$1,0))*IF(OR(F353="L",F353="S",F353="I"),-1,1)</f>
        <v>0</v>
      </c>
      <c r="AO353" s="487" t="str">
        <f>+VLOOKUP($AJ353,Data_Validation!$A:$D,1,0)</f>
        <v>G22130</v>
      </c>
      <c r="AP353" s="487" t="str">
        <f>+VLOOKUP($AJ353,Data_Validation!$A:$D,3,0)</f>
        <v>Bilan</v>
      </c>
      <c r="AQ353" s="487" t="str">
        <f>+VLOOKUP($AJ353,Data_Validation!$A:$D,4,0)</f>
        <v>Recevables Intercos</v>
      </c>
      <c r="AR353" s="487" t="s">
        <v>299</v>
      </c>
      <c r="AS353" s="487">
        <f>+VLOOKUP($AJ353,Data_Validation!$A:$E,5,0)</f>
        <v>0</v>
      </c>
      <c r="AT353" s="904" t="str">
        <f t="shared" si="33"/>
        <v>G22130</v>
      </c>
      <c r="AU353" s="488" t="str">
        <f t="shared" si="34"/>
        <v>INTERCO HAWKSBURY GM</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1147</v>
      </c>
      <c r="B354" s="706">
        <v>2025</v>
      </c>
      <c r="C354" s="706" t="s">
        <v>1872</v>
      </c>
      <c r="D354" s="706" t="s">
        <v>1873</v>
      </c>
      <c r="E354" s="706" t="s">
        <v>1135</v>
      </c>
      <c r="F354" s="706" t="s">
        <v>1135</v>
      </c>
      <c r="G354" s="706">
        <v>500000</v>
      </c>
      <c r="H354" s="706">
        <v>500000</v>
      </c>
      <c r="I354" s="706">
        <v>500000</v>
      </c>
      <c r="J354" s="706">
        <v>500000</v>
      </c>
      <c r="K354" s="706">
        <v>500000</v>
      </c>
      <c r="L354" s="706">
        <v>500000</v>
      </c>
      <c r="M354" s="706">
        <v>500000</v>
      </c>
      <c r="N354" s="706">
        <v>500000</v>
      </c>
      <c r="O354" s="706">
        <v>500000</v>
      </c>
      <c r="P354" s="706">
        <v>500000</v>
      </c>
      <c r="Q354" s="706">
        <v>500000</v>
      </c>
      <c r="R354" s="706">
        <v>-238048.87999999989</v>
      </c>
      <c r="S354" s="706">
        <v>0</v>
      </c>
      <c r="T354" s="706">
        <v>0</v>
      </c>
      <c r="U354" s="706">
        <v>7461951.1200000001</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G22140</v>
      </c>
      <c r="AK354" s="905" t="str">
        <f t="shared" si="31"/>
        <v>INTERCO 13721515 CANADA</v>
      </c>
      <c r="AL354" s="905">
        <f>IFERROR(INDEX(G354:R354,1,MATCH(Parametres!$B$3,G$1:R$1,0)-1)*IF(OR(F354="L",F354="S",F354="I"),-1,1),"")</f>
        <v>500000</v>
      </c>
      <c r="AM354" s="905">
        <f t="shared" si="32"/>
        <v>-738048.87999999989</v>
      </c>
      <c r="AN354" s="905">
        <f>INDEX(G354:R354,1,MATCH(Parametres!$B$3,G$1:R$1,0))*IF(OR(F354="L",F354="S",F354="I"),-1,1)</f>
        <v>-238048.87999999989</v>
      </c>
      <c r="AO354" s="487" t="str">
        <f>+VLOOKUP($AJ354,Data_Validation!$A:$D,1,0)</f>
        <v>G22140</v>
      </c>
      <c r="AP354" s="487" t="str">
        <f>+VLOOKUP($AJ354,Data_Validation!$A:$D,3,0)</f>
        <v>Bilan</v>
      </c>
      <c r="AQ354" s="487" t="str">
        <f>+VLOOKUP($AJ354,Data_Validation!$A:$D,4,0)</f>
        <v>Recevables Intercos</v>
      </c>
      <c r="AR354" s="487" t="s">
        <v>299</v>
      </c>
      <c r="AS354" s="487">
        <f>+VLOOKUP($AJ354,Data_Validation!$A:$E,5,0)</f>
        <v>0</v>
      </c>
      <c r="AT354" s="904" t="str">
        <f t="shared" si="33"/>
        <v>G22140</v>
      </c>
      <c r="AU354" s="488" t="str">
        <f t="shared" si="34"/>
        <v>INTERCO 13721515 CANADA</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1147</v>
      </c>
      <c r="B355" s="706">
        <v>2025</v>
      </c>
      <c r="C355" s="706" t="s">
        <v>1874</v>
      </c>
      <c r="D355" s="706" t="s">
        <v>1875</v>
      </c>
      <c r="E355" s="706" t="s">
        <v>1135</v>
      </c>
      <c r="F355" s="706" t="s">
        <v>1135</v>
      </c>
      <c r="G355" s="706">
        <v>10609.67</v>
      </c>
      <c r="H355" s="706">
        <v>15.88</v>
      </c>
      <c r="I355" s="706">
        <v>796.94</v>
      </c>
      <c r="J355" s="706">
        <v>567.78</v>
      </c>
      <c r="K355" s="706">
        <v>1453.78</v>
      </c>
      <c r="L355" s="706">
        <v>1792.85</v>
      </c>
      <c r="M355" s="706">
        <v>26456.21</v>
      </c>
      <c r="N355" s="706">
        <v>27537.31</v>
      </c>
      <c r="O355" s="706">
        <v>26434.91</v>
      </c>
      <c r="P355" s="706">
        <v>27177.29</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G22150</v>
      </c>
      <c r="AK355" s="905" t="str">
        <f t="shared" si="31"/>
        <v>INTERCO HYUNDAI STCONSTAN</v>
      </c>
      <c r="AL355" s="905">
        <f>IFERROR(INDEX(G355:R355,1,MATCH(Parametres!$B$3,G$1:R$1,0)-1)*IF(OR(F355="L",F355="S",F355="I"),-1,1),"")</f>
        <v>0</v>
      </c>
      <c r="AM355" s="905">
        <f t="shared" si="32"/>
        <v>0</v>
      </c>
      <c r="AN355" s="905">
        <f>INDEX(G355:R355,1,MATCH(Parametres!$B$3,G$1:R$1,0))*IF(OR(F355="L",F355="S",F355="I"),-1,1)</f>
        <v>0</v>
      </c>
      <c r="AO355" s="487" t="str">
        <f>+VLOOKUP($AJ355,Data_Validation!$A:$D,1,0)</f>
        <v>G22150</v>
      </c>
      <c r="AP355" s="487" t="str">
        <f>+VLOOKUP($AJ355,Data_Validation!$A:$D,3,0)</f>
        <v>Bilan</v>
      </c>
      <c r="AQ355" s="487" t="str">
        <f>+VLOOKUP($AJ355,Data_Validation!$A:$D,4,0)</f>
        <v>Recevables Véhicules</v>
      </c>
      <c r="AR355" s="487" t="s">
        <v>299</v>
      </c>
      <c r="AS355" s="487">
        <f>+VLOOKUP($AJ355,Data_Validation!$A:$E,5,0)</f>
        <v>0</v>
      </c>
      <c r="AT355" s="904" t="str">
        <f t="shared" si="33"/>
        <v>G22150</v>
      </c>
      <c r="AU355" s="488" t="str">
        <f t="shared" si="34"/>
        <v>INTERCO HYUNDAI STCONSTAN</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1147</v>
      </c>
      <c r="B356" s="706">
        <v>2025</v>
      </c>
      <c r="C356" s="706" t="s">
        <v>1876</v>
      </c>
      <c r="D356" s="706" t="s">
        <v>1877</v>
      </c>
      <c r="E356" s="706" t="s">
        <v>1135</v>
      </c>
      <c r="F356" s="706" t="s">
        <v>1135</v>
      </c>
      <c r="G356" s="706">
        <v>75701.119999999995</v>
      </c>
      <c r="H356" s="706">
        <v>84311.12</v>
      </c>
      <c r="I356" s="706">
        <v>84524.96</v>
      </c>
      <c r="J356" s="706">
        <v>84596.24</v>
      </c>
      <c r="K356" s="706">
        <v>84596.24</v>
      </c>
      <c r="L356" s="706">
        <v>109596.24</v>
      </c>
      <c r="M356" s="706">
        <v>109738.8</v>
      </c>
      <c r="N356" s="706">
        <v>109816.98</v>
      </c>
      <c r="O356" s="706">
        <v>109816.98</v>
      </c>
      <c r="P356" s="706">
        <v>109816.98</v>
      </c>
      <c r="Q356" s="706">
        <v>110051.52</v>
      </c>
      <c r="R356" s="706">
        <v>110129.7</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G22160</v>
      </c>
      <c r="AK356" s="905" t="str">
        <f t="shared" si="31"/>
        <v>INTERCO 9446-0680 QC INC</v>
      </c>
      <c r="AL356" s="905">
        <f>IFERROR(INDEX(G356:R356,1,MATCH(Parametres!$B$3,G$1:R$1,0)-1)*IF(OR(F356="L",F356="S",F356="I"),-1,1),"")</f>
        <v>110051.52</v>
      </c>
      <c r="AM356" s="905">
        <f t="shared" si="32"/>
        <v>78.179999999993015</v>
      </c>
      <c r="AN356" s="905">
        <f>INDEX(G356:R356,1,MATCH(Parametres!$B$3,G$1:R$1,0))*IF(OR(F356="L",F356="S",F356="I"),-1,1)</f>
        <v>110129.7</v>
      </c>
      <c r="AO356" s="487" t="str">
        <f>+VLOOKUP($AJ356,Data_Validation!$A:$D,1,0)</f>
        <v>G22160</v>
      </c>
      <c r="AP356" s="487" t="str">
        <f>+VLOOKUP($AJ356,Data_Validation!$A:$D,3,0)</f>
        <v>Bilan</v>
      </c>
      <c r="AQ356" s="487" t="str">
        <f>+VLOOKUP($AJ356,Data_Validation!$A:$D,4,0)</f>
        <v>Recevables Intercos</v>
      </c>
      <c r="AR356" s="487" t="s">
        <v>299</v>
      </c>
      <c r="AS356" s="487">
        <f>+VLOOKUP($AJ356,Data_Validation!$A:$E,5,0)</f>
        <v>0</v>
      </c>
      <c r="AT356" s="904" t="str">
        <f t="shared" si="33"/>
        <v>G22160</v>
      </c>
      <c r="AU356" s="488" t="str">
        <f t="shared" si="34"/>
        <v>INTERCO 9446-0680 QC INC</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1147</v>
      </c>
      <c r="B357" s="706">
        <v>2025</v>
      </c>
      <c r="C357" s="706" t="s">
        <v>1878</v>
      </c>
      <c r="D357" s="706" t="s">
        <v>1879</v>
      </c>
      <c r="E357" s="706" t="s">
        <v>1135</v>
      </c>
      <c r="F357" s="706" t="s">
        <v>1135</v>
      </c>
      <c r="G357" s="706">
        <v>25000</v>
      </c>
      <c r="H357" s="706">
        <v>25000</v>
      </c>
      <c r="I357" s="706">
        <v>25000</v>
      </c>
      <c r="J357" s="706">
        <v>25000</v>
      </c>
      <c r="K357" s="706">
        <v>25000</v>
      </c>
      <c r="L357" s="706">
        <v>0</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G22170</v>
      </c>
      <c r="AK357" s="905" t="str">
        <f t="shared" si="31"/>
        <v>INTERCO REMARK.AUTO CANAD</v>
      </c>
      <c r="AL357" s="905">
        <f>IFERROR(INDEX(G357:R357,1,MATCH(Parametres!$B$3,G$1:R$1,0)-1)*IF(OR(F357="L",F357="S",F357="I"),-1,1),"")</f>
        <v>0</v>
      </c>
      <c r="AM357" s="905">
        <f t="shared" si="32"/>
        <v>0</v>
      </c>
      <c r="AN357" s="905">
        <f>INDEX(G357:R357,1,MATCH(Parametres!$B$3,G$1:R$1,0))*IF(OR(F357="L",F357="S",F357="I"),-1,1)</f>
        <v>0</v>
      </c>
      <c r="AO357" s="487" t="str">
        <f>+VLOOKUP($AJ357,Data_Validation!$A:$D,1,0)</f>
        <v>G22170</v>
      </c>
      <c r="AP357" s="487" t="str">
        <f>+VLOOKUP($AJ357,Data_Validation!$A:$D,3,0)</f>
        <v>Bilan</v>
      </c>
      <c r="AQ357" s="487" t="str">
        <f>+VLOOKUP($AJ357,Data_Validation!$A:$D,4,0)</f>
        <v>Recevables Intercos</v>
      </c>
      <c r="AR357" s="487" t="s">
        <v>299</v>
      </c>
      <c r="AS357" s="487">
        <f>+VLOOKUP($AJ357,Data_Validation!$A:$E,5,0)</f>
        <v>0</v>
      </c>
      <c r="AT357" s="904" t="str">
        <f t="shared" si="33"/>
        <v>G22170</v>
      </c>
      <c r="AU357" s="488" t="str">
        <f t="shared" si="34"/>
        <v>INTERCO REMARK.AUTO CANAD</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1147</v>
      </c>
      <c r="B358" s="706">
        <v>2025</v>
      </c>
      <c r="C358" s="706" t="s">
        <v>1880</v>
      </c>
      <c r="D358" s="706" t="s">
        <v>1881</v>
      </c>
      <c r="E358" s="706" t="s">
        <v>1134</v>
      </c>
      <c r="F358" s="706" t="s">
        <v>1135</v>
      </c>
      <c r="G358" s="706">
        <v>71.28</v>
      </c>
      <c r="H358" s="706">
        <v>71.28</v>
      </c>
      <c r="I358" s="706">
        <v>-15236.51</v>
      </c>
      <c r="J358" s="706">
        <v>356.4</v>
      </c>
      <c r="K358" s="706">
        <v>-19118.07</v>
      </c>
      <c r="L358" s="706">
        <v>126.48</v>
      </c>
      <c r="M358" s="706">
        <v>-1318.2</v>
      </c>
      <c r="N358" s="706">
        <v>227.64</v>
      </c>
      <c r="O358" s="706">
        <v>-41007.11</v>
      </c>
      <c r="P358" s="706">
        <v>227.64</v>
      </c>
      <c r="Q358" s="706">
        <v>540.36</v>
      </c>
      <c r="R358" s="706">
        <v>-1709.85</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G22180</v>
      </c>
      <c r="AK358" s="905" t="str">
        <f t="shared" si="31"/>
        <v>INTERCO LOCATION LMB</v>
      </c>
      <c r="AL358" s="905">
        <f>IFERROR(INDEX(G358:R358,1,MATCH(Parametres!$B$3,G$1:R$1,0)-1)*IF(OR(F358="L",F358="S",F358="I"),-1,1),"")</f>
        <v>540.36</v>
      </c>
      <c r="AM358" s="905">
        <f t="shared" si="32"/>
        <v>-2250.21</v>
      </c>
      <c r="AN358" s="905">
        <f>INDEX(G358:R358,1,MATCH(Parametres!$B$3,G$1:R$1,0))*IF(OR(F358="L",F358="S",F358="I"),-1,1)</f>
        <v>-1709.85</v>
      </c>
      <c r="AO358" s="487" t="str">
        <f>+VLOOKUP($AJ358,Data_Validation!$A:$D,1,0)</f>
        <v>G22180</v>
      </c>
      <c r="AP358" s="487" t="str">
        <f>+VLOOKUP($AJ358,Data_Validation!$A:$D,3,0)</f>
        <v>Bilan</v>
      </c>
      <c r="AQ358" s="487" t="str">
        <f>+VLOOKUP($AJ358,Data_Validation!$A:$D,4,0)</f>
        <v>Recevables Intercos</v>
      </c>
      <c r="AR358" s="487" t="s">
        <v>299</v>
      </c>
      <c r="AS358" s="487">
        <f>+VLOOKUP($AJ358,Data_Validation!$A:$E,5,0)</f>
        <v>0</v>
      </c>
      <c r="AT358" s="904" t="str">
        <f t="shared" si="33"/>
        <v>G22180</v>
      </c>
      <c r="AU358" s="488" t="str">
        <f t="shared" si="34"/>
        <v>INTERCO LOCATION LMB</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1147</v>
      </c>
      <c r="B359" s="706">
        <v>2025</v>
      </c>
      <c r="C359" s="706" t="s">
        <v>3150</v>
      </c>
      <c r="F359" s="706" t="s">
        <v>1135</v>
      </c>
      <c r="R359" s="706">
        <v>49999.54</v>
      </c>
      <c r="U359" s="706">
        <v>49999.54</v>
      </c>
      <c r="AJ359" s="905" t="str">
        <f t="shared" si="30"/>
        <v>G22175</v>
      </c>
      <c r="AK359" s="905">
        <f t="shared" si="31"/>
        <v>0</v>
      </c>
      <c r="AL359" s="905">
        <f>IFERROR(INDEX(G359:R359,1,MATCH(Parametres!$B$3,G$1:R$1,0)-1)*IF(OR(F359="L",F359="S",F359="I"),-1,1),"")</f>
        <v>0</v>
      </c>
      <c r="AM359" s="905">
        <f t="shared" si="32"/>
        <v>49999.54</v>
      </c>
      <c r="AN359" s="905">
        <f>INDEX(G359:R359,1,MATCH(Parametres!$B$3,G$1:R$1,0))*IF(OR(F359="L",F359="S",F359="I"),-1,1)</f>
        <v>49999.54</v>
      </c>
      <c r="AO359" s="487" t="str">
        <f>+VLOOKUP($AJ359,Data_Validation!$A:$D,1,0)</f>
        <v>G22175</v>
      </c>
      <c r="AP359" s="487" t="str">
        <f>+VLOOKUP($AJ359,Data_Validation!$A:$D,3,0)</f>
        <v>Bilan</v>
      </c>
      <c r="AQ359" s="487" t="str">
        <f>+VLOOKUP($AJ359,Data_Validation!$A:$D,4,0)</f>
        <v>Recevables Intercos</v>
      </c>
      <c r="AR359" s="487" t="s">
        <v>299</v>
      </c>
      <c r="AS359" s="487">
        <f>+VLOOKUP($AJ359,Data_Validation!$A:$E,5,0)</f>
        <v>0</v>
      </c>
      <c r="AT359" s="904" t="str">
        <f t="shared" si="33"/>
        <v>G22175</v>
      </c>
      <c r="AU359" s="488">
        <f t="shared" si="34"/>
        <v>0</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1147</v>
      </c>
      <c r="B360" s="706">
        <v>2025</v>
      </c>
      <c r="C360" s="706" t="s">
        <v>1882</v>
      </c>
      <c r="D360" s="706" t="s">
        <v>1883</v>
      </c>
      <c r="E360" s="706" t="s">
        <v>1135</v>
      </c>
      <c r="F360" s="706" t="s">
        <v>1135</v>
      </c>
      <c r="G360" s="706">
        <v>0</v>
      </c>
      <c r="H360" s="706">
        <v>0</v>
      </c>
      <c r="I360" s="706">
        <v>0</v>
      </c>
      <c r="J360" s="706">
        <v>0</v>
      </c>
      <c r="K360" s="706">
        <v>0</v>
      </c>
      <c r="L360" s="706">
        <v>0</v>
      </c>
      <c r="M360" s="706">
        <v>0</v>
      </c>
      <c r="N360" s="706">
        <v>0</v>
      </c>
      <c r="O360" s="706">
        <v>0</v>
      </c>
      <c r="P360" s="706">
        <v>0</v>
      </c>
      <c r="Q360" s="706">
        <v>0</v>
      </c>
      <c r="R360" s="706">
        <v>7247576.54</v>
      </c>
      <c r="S360" s="706">
        <v>0</v>
      </c>
      <c r="T360" s="706">
        <v>0</v>
      </c>
      <c r="U360" s="706">
        <v>7247576.54</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G22185</v>
      </c>
      <c r="AK360" s="905" t="str">
        <f t="shared" si="31"/>
        <v>AVANCES BMW SHERBROOKE</v>
      </c>
      <c r="AL360" s="905">
        <f>IFERROR(INDEX(G360:R360,1,MATCH(Parametres!$B$3,G$1:R$1,0)-1)*IF(OR(F360="L",F360="S",F360="I"),-1,1),"")</f>
        <v>0</v>
      </c>
      <c r="AM360" s="905">
        <f t="shared" si="32"/>
        <v>7247576.54</v>
      </c>
      <c r="AN360" s="905">
        <f>INDEX(G360:R360,1,MATCH(Parametres!$B$3,G$1:R$1,0))*IF(OR(F360="L",F360="S",F360="I"),-1,1)</f>
        <v>7247576.54</v>
      </c>
      <c r="AO360" s="487" t="str">
        <f>+VLOOKUP($AJ360,Data_Validation!$A:$D,1,0)</f>
        <v>G22185</v>
      </c>
      <c r="AP360" s="487" t="str">
        <f>+VLOOKUP($AJ360,Data_Validation!$A:$D,3,0)</f>
        <v>Bilan</v>
      </c>
      <c r="AQ360" s="487" t="str">
        <f>+VLOOKUP($AJ360,Data_Validation!$A:$D,4,0)</f>
        <v>Recevables Intercos</v>
      </c>
      <c r="AR360" s="487" t="s">
        <v>299</v>
      </c>
      <c r="AS360" s="487">
        <f>+VLOOKUP($AJ360,Data_Validation!$A:$E,5,0)</f>
        <v>0</v>
      </c>
      <c r="AT360" s="904" t="str">
        <f t="shared" si="33"/>
        <v>G22185</v>
      </c>
      <c r="AU360" s="488" t="str">
        <f t="shared" si="34"/>
        <v>AVANCES BMW SHERBROOKE</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1147</v>
      </c>
      <c r="B361" s="706">
        <v>2025</v>
      </c>
      <c r="C361" s="706" t="s">
        <v>3152</v>
      </c>
      <c r="F361" s="706" t="s">
        <v>1135</v>
      </c>
      <c r="R361" s="706">
        <v>759893.57</v>
      </c>
      <c r="U361" s="706">
        <v>759893.57</v>
      </c>
      <c r="AJ361" s="905" t="str">
        <f t="shared" si="30"/>
        <v>G22186</v>
      </c>
      <c r="AK361" s="905">
        <f t="shared" si="31"/>
        <v>0</v>
      </c>
      <c r="AL361" s="905">
        <f>IFERROR(INDEX(G361:R361,1,MATCH(Parametres!$B$3,G$1:R$1,0)-1)*IF(OR(F361="L",F361="S",F361="I"),-1,1),"")</f>
        <v>0</v>
      </c>
      <c r="AM361" s="905">
        <f t="shared" si="32"/>
        <v>759893.57</v>
      </c>
      <c r="AN361" s="905">
        <f>INDEX(G361:R361,1,MATCH(Parametres!$B$3,G$1:R$1,0))*IF(OR(F361="L",F361="S",F361="I"),-1,1)</f>
        <v>759893.57</v>
      </c>
      <c r="AO361" s="487" t="str">
        <f>+VLOOKUP($AJ361,Data_Validation!$A:$D,1,0)</f>
        <v>G22186</v>
      </c>
      <c r="AP361" s="487" t="str">
        <f>+VLOOKUP($AJ361,Data_Validation!$A:$D,3,0)</f>
        <v>Bilan</v>
      </c>
      <c r="AQ361" s="487" t="str">
        <f>+VLOOKUP($AJ361,Data_Validation!$A:$D,4,0)</f>
        <v>Recevables Intercos</v>
      </c>
      <c r="AR361" s="487" t="s">
        <v>299</v>
      </c>
      <c r="AS361" s="487">
        <f>+VLOOKUP($AJ361,Data_Validation!$A:$E,5,0)</f>
        <v>0</v>
      </c>
      <c r="AT361" s="904" t="str">
        <f t="shared" si="33"/>
        <v>G22186</v>
      </c>
      <c r="AU361" s="488">
        <f t="shared" si="34"/>
        <v>0</v>
      </c>
      <c r="AV361" s="899">
        <f>IFERROR(INDEX(V361:AG361,1,MATCH(Parametres!$B$3,V$1:AG$1,0)-1)*IF(OR(C361="L",C361="S",C361="I"),-1,1),"")</f>
        <v>0</v>
      </c>
      <c r="AW361" s="899">
        <f t="shared" si="35"/>
        <v>0</v>
      </c>
      <c r="AX361" s="899">
        <f>INDEX(V361:AG361,1,MATCH(Parametres!$B$3,V$1:AG$1,0))*IF(OR(C361="L",C361="S",C361="I"),-1,1)</f>
        <v>0</v>
      </c>
      <c r="AY361" s="487" t="s">
        <v>337</v>
      </c>
      <c r="AZ361" s="487">
        <f>+VLOOKUP($AJ361,Data_Validation!$A:$E,5,0)</f>
        <v>0</v>
      </c>
    </row>
    <row r="362" spans="1:52" ht="15.75" customHeight="1">
      <c r="A362" s="706" t="s">
        <v>1147</v>
      </c>
      <c r="B362" s="706">
        <v>2025</v>
      </c>
      <c r="C362" s="706" t="s">
        <v>1884</v>
      </c>
      <c r="D362" s="706" t="s">
        <v>1885</v>
      </c>
      <c r="E362" s="706" t="s">
        <v>1134</v>
      </c>
      <c r="F362" s="706" t="s">
        <v>1135</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G22190</v>
      </c>
      <c r="AK362" s="905" t="str">
        <f t="shared" si="31"/>
        <v>INTERCO 9046-6640 QUEBEC</v>
      </c>
      <c r="AL362" s="905">
        <f>IFERROR(INDEX(G362:R362,1,MATCH(Parametres!$B$3,G$1:R$1,0)-1)*IF(OR(F362="L",F362="S",F362="I"),-1,1),"")</f>
        <v>0</v>
      </c>
      <c r="AM362" s="905">
        <f t="shared" si="32"/>
        <v>0</v>
      </c>
      <c r="AN362" s="905">
        <f>INDEX(G362:R362,1,MATCH(Parametres!$B$3,G$1:R$1,0))*IF(OR(F362="L",F362="S",F362="I"),-1,1)</f>
        <v>0</v>
      </c>
      <c r="AO362" s="487" t="str">
        <f>+VLOOKUP($AJ362,Data_Validation!$A:$D,1,0)</f>
        <v>G22190</v>
      </c>
      <c r="AP362" s="487">
        <f>+VLOOKUP($AJ362,Data_Validation!$A:$D,3,0)</f>
        <v>0</v>
      </c>
      <c r="AQ362" s="487">
        <f>+VLOOKUP($AJ362,Data_Validation!$A:$D,4,0)</f>
        <v>0</v>
      </c>
      <c r="AR362" s="487" t="s">
        <v>299</v>
      </c>
      <c r="AS362" s="487">
        <f>+VLOOKUP($AJ362,Data_Validation!$A:$E,5,0)</f>
        <v>0</v>
      </c>
      <c r="AT362" s="904" t="str">
        <f t="shared" si="33"/>
        <v>G22190</v>
      </c>
      <c r="AU362" s="488" t="str">
        <f t="shared" si="34"/>
        <v>INTERCO 9046-6640 QUEBEC</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1147</v>
      </c>
      <c r="B363" s="706">
        <v>2025</v>
      </c>
      <c r="C363" s="706" t="s">
        <v>1886</v>
      </c>
      <c r="D363" s="706" t="s">
        <v>1887</v>
      </c>
      <c r="E363" s="706" t="s">
        <v>1134</v>
      </c>
      <c r="F363" s="706" t="s">
        <v>1135</v>
      </c>
      <c r="G363" s="706">
        <v>575000</v>
      </c>
      <c r="H363" s="706">
        <v>575000</v>
      </c>
      <c r="I363" s="706">
        <v>575000</v>
      </c>
      <c r="J363" s="706">
        <v>575000</v>
      </c>
      <c r="K363" s="706">
        <v>575000</v>
      </c>
      <c r="L363" s="706">
        <v>575000</v>
      </c>
      <c r="M363" s="706">
        <v>575000</v>
      </c>
      <c r="N363" s="706">
        <v>575000</v>
      </c>
      <c r="O363" s="706">
        <v>575000</v>
      </c>
      <c r="P363" s="706">
        <v>575000</v>
      </c>
      <c r="Q363" s="706">
        <v>575000</v>
      </c>
      <c r="R363" s="706">
        <v>575000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G22195</v>
      </c>
      <c r="AK363" s="905" t="str">
        <f t="shared" si="31"/>
        <v>INTERCO 9341-5701 QC INC</v>
      </c>
      <c r="AL363" s="905">
        <f>IFERROR(INDEX(G363:R363,1,MATCH(Parametres!$B$3,G$1:R$1,0)-1)*IF(OR(F363="L",F363="S",F363="I"),-1,1),"")</f>
        <v>575000</v>
      </c>
      <c r="AM363" s="905">
        <f t="shared" si="32"/>
        <v>0</v>
      </c>
      <c r="AN363" s="905">
        <f>INDEX(G363:R363,1,MATCH(Parametres!$B$3,G$1:R$1,0))*IF(OR(F363="L",F363="S",F363="I"),-1,1)</f>
        <v>575000</v>
      </c>
      <c r="AO363" s="487" t="str">
        <f>+VLOOKUP($AJ363,Data_Validation!$A:$D,1,0)</f>
        <v>G22195</v>
      </c>
      <c r="AP363" s="487" t="str">
        <f>+VLOOKUP($AJ363,Data_Validation!$A:$D,3,0)</f>
        <v>Bilan</v>
      </c>
      <c r="AQ363" s="487" t="str">
        <f>+VLOOKUP($AJ363,Data_Validation!$A:$D,4,0)</f>
        <v>Recevables Intercos</v>
      </c>
      <c r="AR363" s="487" t="s">
        <v>299</v>
      </c>
      <c r="AS363" s="487">
        <f>+VLOOKUP($AJ363,Data_Validation!$A:$E,5,0)</f>
        <v>0</v>
      </c>
      <c r="AT363" s="904" t="str">
        <f t="shared" si="33"/>
        <v>G22195</v>
      </c>
      <c r="AU363" s="488" t="str">
        <f t="shared" si="34"/>
        <v>INTERCO 9341-5701 QC INC</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customHeight="1">
      <c r="A364" s="706" t="s">
        <v>1147</v>
      </c>
      <c r="B364" s="706">
        <v>2025</v>
      </c>
      <c r="C364" s="706" t="s">
        <v>1888</v>
      </c>
      <c r="D364" s="706" t="s">
        <v>1889</v>
      </c>
      <c r="E364" s="706" t="s">
        <v>333</v>
      </c>
      <c r="F364" s="706" t="s">
        <v>1135</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G22200</v>
      </c>
      <c r="AK364" s="905" t="str">
        <f t="shared" si="31"/>
        <v>TPS/CTI/ACHAT/VEHICULE</v>
      </c>
      <c r="AL364" s="905">
        <f>IFERROR(INDEX(G364:R364,1,MATCH(Parametres!$B$3,G$1:R$1,0)-1)*IF(OR(F364="L",F364="S",F364="I"),-1,1),"")</f>
        <v>0</v>
      </c>
      <c r="AM364" s="905">
        <f t="shared" si="32"/>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t="str">
        <f t="shared" si="33"/>
        <v>G22200</v>
      </c>
      <c r="AU364" s="488" t="str">
        <f t="shared" si="34"/>
        <v>TPS/CTI/ACHAT/VEHICULE</v>
      </c>
      <c r="AV364" s="899">
        <f>IFERROR(INDEX(V364:AG364,1,MATCH(Parametres!$B$3,V$1:AG$1,0)-1)*IF(OR(C364="L",C364="S",C364="I"),-1,1),"")</f>
        <v>0</v>
      </c>
      <c r="AW364" s="899">
        <f t="shared" si="35"/>
        <v>0</v>
      </c>
      <c r="AX364" s="899">
        <f>INDEX(V364:AG364,1,MATCH(Parametres!$B$3,V$1:AG$1,0))*IF(OR(C364="L",C364="S",C364="I"),-1,1)</f>
        <v>0</v>
      </c>
      <c r="AY364" s="487" t="s">
        <v>337</v>
      </c>
      <c r="AZ364" s="487" t="e">
        <f>+VLOOKUP($AJ364,Data_Validation!$A:$E,5,0)</f>
        <v>#N/A</v>
      </c>
    </row>
    <row r="365" spans="1:52" ht="15.75" customHeight="1">
      <c r="A365" s="706" t="s">
        <v>1147</v>
      </c>
      <c r="B365" s="706">
        <v>2025</v>
      </c>
      <c r="C365" s="706" t="s">
        <v>1894</v>
      </c>
      <c r="D365" s="706" t="s">
        <v>1895</v>
      </c>
      <c r="E365" s="706" t="s">
        <v>1134</v>
      </c>
      <c r="F365" s="706" t="s">
        <v>1135</v>
      </c>
      <c r="G365" s="706">
        <v>0</v>
      </c>
      <c r="H365" s="706">
        <v>0</v>
      </c>
      <c r="I365" s="706">
        <v>0</v>
      </c>
      <c r="J365" s="706">
        <v>0</v>
      </c>
      <c r="K365" s="706">
        <v>0</v>
      </c>
      <c r="L365" s="706">
        <v>0</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G22210</v>
      </c>
      <c r="AK365" s="905" t="str">
        <f t="shared" si="31"/>
        <v>INTERCO 15814251 CANADA</v>
      </c>
      <c r="AL365" s="905">
        <f>IFERROR(INDEX(G365:R365,1,MATCH(Parametres!$B$3,G$1:R$1,0)-1)*IF(OR(F365="L",F365="S",F365="I"),-1,1),"")</f>
        <v>0</v>
      </c>
      <c r="AM365" s="905">
        <f t="shared" si="32"/>
        <v>0</v>
      </c>
      <c r="AN365" s="905">
        <f>INDEX(G365:R365,1,MATCH(Parametres!$B$3,G$1:R$1,0))*IF(OR(F365="L",F365="S",F365="I"),-1,1)</f>
        <v>0</v>
      </c>
      <c r="AO365" s="487" t="str">
        <f>+VLOOKUP($AJ365,Data_Validation!$A:$D,1,0)</f>
        <v>G22210</v>
      </c>
      <c r="AP365" s="487">
        <f>+VLOOKUP($AJ365,Data_Validation!$A:$D,3,0)</f>
        <v>0</v>
      </c>
      <c r="AQ365" s="487">
        <f>+VLOOKUP($AJ365,Data_Validation!$A:$D,4,0)</f>
        <v>0</v>
      </c>
      <c r="AR365" s="487" t="s">
        <v>299</v>
      </c>
      <c r="AS365" s="487">
        <f>+VLOOKUP($AJ365,Data_Validation!$A:$E,5,0)</f>
        <v>0</v>
      </c>
      <c r="AT365" s="904" t="str">
        <f t="shared" si="33"/>
        <v>G22210</v>
      </c>
      <c r="AU365" s="488" t="str">
        <f t="shared" si="34"/>
        <v>INTERCO 15814251 CANADA</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1147</v>
      </c>
      <c r="B366" s="706">
        <v>2025</v>
      </c>
      <c r="C366" s="706" t="s">
        <v>1896</v>
      </c>
      <c r="D366" s="706" t="s">
        <v>1897</v>
      </c>
      <c r="E366" s="706" t="s">
        <v>1135</v>
      </c>
      <c r="F366" s="706" t="s">
        <v>1135</v>
      </c>
      <c r="G366" s="706">
        <v>5902837.21</v>
      </c>
      <c r="H366" s="706">
        <v>5890671.21</v>
      </c>
      <c r="I366" s="706">
        <v>4787393.1900000004</v>
      </c>
      <c r="J366" s="706">
        <v>4188521.59</v>
      </c>
      <c r="K366" s="706">
        <v>4189666.78</v>
      </c>
      <c r="L366" s="706">
        <v>4177998.23</v>
      </c>
      <c r="M366" s="706">
        <v>4172792.12</v>
      </c>
      <c r="N366" s="706">
        <v>4192438.37</v>
      </c>
      <c r="O366" s="706">
        <v>5802141.5099999998</v>
      </c>
      <c r="P366" s="706">
        <v>5799185.0700000003</v>
      </c>
      <c r="Q366" s="706">
        <v>5785742.0599999996</v>
      </c>
      <c r="R366" s="706">
        <v>285742.05999999959</v>
      </c>
      <c r="S366" s="706">
        <v>0</v>
      </c>
      <c r="T366" s="706">
        <v>0</v>
      </c>
      <c r="U366" s="706">
        <v>-5500000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G22211</v>
      </c>
      <c r="AK366" s="905" t="str">
        <f t="shared" si="31"/>
        <v>INTERCO HYUNDAI LONGUEUIL</v>
      </c>
      <c r="AL366" s="905">
        <f>IFERROR(INDEX(G366:R366,1,MATCH(Parametres!$B$3,G$1:R$1,0)-1)*IF(OR(F366="L",F366="S",F366="I"),-1,1),"")</f>
        <v>5785742.0599999996</v>
      </c>
      <c r="AM366" s="905">
        <f t="shared" si="32"/>
        <v>-5500000</v>
      </c>
      <c r="AN366" s="905">
        <f>INDEX(G366:R366,1,MATCH(Parametres!$B$3,G$1:R$1,0))*IF(OR(F366="L",F366="S",F366="I"),-1,1)</f>
        <v>285742.05999999959</v>
      </c>
      <c r="AO366" s="487" t="str">
        <f>+VLOOKUP($AJ366,Data_Validation!$A:$D,1,0)</f>
        <v>G22211</v>
      </c>
      <c r="AP366" s="487" t="str">
        <f>+VLOOKUP($AJ366,Data_Validation!$A:$D,3,0)</f>
        <v>Bilan</v>
      </c>
      <c r="AQ366" s="487" t="str">
        <f>+VLOOKUP($AJ366,Data_Validation!$A:$D,4,0)</f>
        <v>Recevables Intercos</v>
      </c>
      <c r="AR366" s="487" t="s">
        <v>299</v>
      </c>
      <c r="AS366" s="487">
        <f>+VLOOKUP($AJ366,Data_Validation!$A:$E,5,0)</f>
        <v>0</v>
      </c>
      <c r="AT366" s="904" t="str">
        <f t="shared" si="33"/>
        <v>G22211</v>
      </c>
      <c r="AU366" s="488" t="str">
        <f t="shared" si="34"/>
        <v>INTERCO HYUNDAI LONGUEUIL</v>
      </c>
      <c r="AV366" s="899">
        <f>IFERROR(INDEX(V366:AG366,1,MATCH(Parametres!$B$3,V$1:AG$1,0)-1)*IF(OR(C366="L",C366="S",C366="I"),-1,1),"")</f>
        <v>0</v>
      </c>
      <c r="AW366" s="899">
        <f t="shared" si="35"/>
        <v>0</v>
      </c>
      <c r="AX366" s="899">
        <f>INDEX(V366:AG366,1,MATCH(Parametres!$B$3,V$1:AG$1,0))*IF(OR(C366="L",C366="S",C366="I"),-1,1)</f>
        <v>0</v>
      </c>
      <c r="AY366" s="487" t="s">
        <v>337</v>
      </c>
      <c r="AZ366" s="487">
        <f>+VLOOKUP($AJ366,Data_Validation!$A:$E,5,0)</f>
        <v>0</v>
      </c>
    </row>
    <row r="367" spans="1:52" ht="15.75" hidden="1" customHeight="1">
      <c r="A367" s="706" t="s">
        <v>1147</v>
      </c>
      <c r="B367" s="706">
        <v>2025</v>
      </c>
      <c r="C367" s="706" t="s">
        <v>1898</v>
      </c>
      <c r="D367" s="706" t="s">
        <v>1899</v>
      </c>
      <c r="E367" s="706" t="s">
        <v>1134</v>
      </c>
      <c r="F367" s="706" t="s">
        <v>1135</v>
      </c>
      <c r="G367" s="706">
        <v>300000</v>
      </c>
      <c r="H367" s="706">
        <v>300000</v>
      </c>
      <c r="I367" s="706">
        <v>300000</v>
      </c>
      <c r="J367" s="706">
        <v>300000</v>
      </c>
      <c r="K367" s="706">
        <v>300000</v>
      </c>
      <c r="L367" s="706">
        <v>300000</v>
      </c>
      <c r="M367" s="706">
        <v>300000</v>
      </c>
      <c r="N367" s="706">
        <v>300000</v>
      </c>
      <c r="O367" s="706">
        <v>300000</v>
      </c>
      <c r="P367" s="706">
        <v>300000</v>
      </c>
      <c r="Q367" s="706">
        <v>300000</v>
      </c>
      <c r="R367" s="706">
        <v>-5633.78</v>
      </c>
      <c r="S367" s="706">
        <v>0</v>
      </c>
      <c r="T367" s="706">
        <v>0</v>
      </c>
      <c r="U367" s="706">
        <v>-5633.78</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G22212</v>
      </c>
      <c r="AK367" s="905" t="str">
        <f t="shared" si="31"/>
        <v>INTERCO 9510-1309 QC INC</v>
      </c>
      <c r="AL367" s="905">
        <f>IFERROR(INDEX(G367:R367,1,MATCH(Parametres!$B$3,G$1:R$1,0)-1)*IF(OR(F367="L",F367="S",F367="I"),-1,1),"")</f>
        <v>300000</v>
      </c>
      <c r="AM367" s="905">
        <f t="shared" si="32"/>
        <v>-305633.78000000003</v>
      </c>
      <c r="AN367" s="905">
        <f>INDEX(G367:R367,1,MATCH(Parametres!$B$3,G$1:R$1,0))*IF(OR(F367="L",F367="S",F367="I"),-1,1)</f>
        <v>-5633.78</v>
      </c>
      <c r="AO367" s="487" t="str">
        <f>+VLOOKUP($AJ367,Data_Validation!$A:$D,1,0)</f>
        <v>G22212</v>
      </c>
      <c r="AP367" s="487" t="str">
        <f>+VLOOKUP($AJ367,Data_Validation!$A:$D,3,0)</f>
        <v>Bilan</v>
      </c>
      <c r="AQ367" s="487" t="str">
        <f>+VLOOKUP($AJ367,Data_Validation!$A:$D,4,0)</f>
        <v>Recevables Véhicules</v>
      </c>
      <c r="AR367" s="487" t="s">
        <v>299</v>
      </c>
      <c r="AS367" s="487">
        <f>+VLOOKUP($AJ367,Data_Validation!$A:$E,5,0)</f>
        <v>0</v>
      </c>
      <c r="AT367" s="904" t="str">
        <f t="shared" si="33"/>
        <v>G22212</v>
      </c>
      <c r="AU367" s="488" t="str">
        <f t="shared" si="34"/>
        <v>INTERCO 9510-1309 QC INC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1147</v>
      </c>
      <c r="B368" s="706">
        <v>2025</v>
      </c>
      <c r="C368" s="706" t="s">
        <v>1900</v>
      </c>
      <c r="D368" s="706" t="s">
        <v>1901</v>
      </c>
      <c r="E368" s="706" t="s">
        <v>1134</v>
      </c>
      <c r="F368" s="706" t="s">
        <v>1135</v>
      </c>
      <c r="G368" s="706">
        <v>100000</v>
      </c>
      <c r="H368" s="706">
        <v>100000</v>
      </c>
      <c r="I368" s="706">
        <v>100000</v>
      </c>
      <c r="J368" s="706">
        <v>100000</v>
      </c>
      <c r="K368" s="706">
        <v>100000</v>
      </c>
      <c r="L368" s="706">
        <v>100000</v>
      </c>
      <c r="M368" s="706">
        <v>100000</v>
      </c>
      <c r="N368" s="706">
        <v>100000</v>
      </c>
      <c r="O368" s="706">
        <v>100000</v>
      </c>
      <c r="P368" s="706">
        <v>100000</v>
      </c>
      <c r="Q368" s="706">
        <v>100000</v>
      </c>
      <c r="R368" s="706">
        <v>40241.25</v>
      </c>
      <c r="S368" s="706">
        <v>0</v>
      </c>
      <c r="T368" s="706">
        <v>0</v>
      </c>
      <c r="U368" s="706">
        <v>40241.25</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G22213</v>
      </c>
      <c r="AK368" s="905" t="str">
        <f t="shared" si="31"/>
        <v>INTERCO HERELLE</v>
      </c>
      <c r="AL368" s="905">
        <f>IFERROR(INDEX(G368:R368,1,MATCH(Parametres!$B$3,G$1:R$1,0)-1)*IF(OR(F368="L",F368="S",F368="I"),-1,1),"")</f>
        <v>100000</v>
      </c>
      <c r="AM368" s="905">
        <f t="shared" si="32"/>
        <v>-59758.75</v>
      </c>
      <c r="AN368" s="905">
        <f>INDEX(G368:R368,1,MATCH(Parametres!$B$3,G$1:R$1,0))*IF(OR(F368="L",F368="S",F368="I"),-1,1)</f>
        <v>40241.25</v>
      </c>
      <c r="AO368" s="487" t="str">
        <f>+VLOOKUP($AJ368,Data_Validation!$A:$D,1,0)</f>
        <v>G22213</v>
      </c>
      <c r="AP368" s="487" t="str">
        <f>+VLOOKUP($AJ368,Data_Validation!$A:$D,3,0)</f>
        <v>Bilan</v>
      </c>
      <c r="AQ368" s="487" t="str">
        <f>+VLOOKUP($AJ368,Data_Validation!$A:$D,4,0)</f>
        <v>Recevables Véhicules</v>
      </c>
      <c r="AR368" s="487" t="s">
        <v>299</v>
      </c>
      <c r="AS368" s="487">
        <f>+VLOOKUP($AJ368,Data_Validation!$A:$E,5,0)</f>
        <v>0</v>
      </c>
      <c r="AT368" s="904" t="str">
        <f t="shared" si="33"/>
        <v>G22213</v>
      </c>
      <c r="AU368" s="488" t="str">
        <f t="shared" si="34"/>
        <v>INTERCO HERELLE</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customHeight="1">
      <c r="A369" s="706" t="s">
        <v>1147</v>
      </c>
      <c r="B369" s="706">
        <v>2025</v>
      </c>
      <c r="C369" s="706" t="s">
        <v>1902</v>
      </c>
      <c r="D369" s="706" t="s">
        <v>1903</v>
      </c>
      <c r="E369" s="706" t="s">
        <v>1134</v>
      </c>
      <c r="F369" s="706" t="s">
        <v>1135</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G22500</v>
      </c>
      <c r="AK369" s="905" t="str">
        <f t="shared" si="31"/>
        <v>VENTES PAYES COMPTANT</v>
      </c>
      <c r="AL369" s="905">
        <f>IFERROR(INDEX(G369:R369,1,MATCH(Parametres!$B$3,G$1:R$1,0)-1)*IF(OR(F369="L",F369="S",F369="I"),-1,1),"")</f>
        <v>0</v>
      </c>
      <c r="AM369" s="905">
        <f t="shared" si="32"/>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t="str">
        <f t="shared" si="33"/>
        <v>G22500</v>
      </c>
      <c r="AU369" s="488" t="str">
        <f t="shared" si="34"/>
        <v>VENTES PAYES COMPTANT</v>
      </c>
      <c r="AV369" s="899">
        <f>IFERROR(INDEX(V369:AG369,1,MATCH(Parametres!$B$3,V$1:AG$1,0)-1)*IF(OR(C369="L",C369="S",C369="I"),-1,1),"")</f>
        <v>0</v>
      </c>
      <c r="AW369" s="899">
        <f t="shared" si="35"/>
        <v>0</v>
      </c>
      <c r="AX369" s="899">
        <f>INDEX(V369:AG369,1,MATCH(Parametres!$B$3,V$1:AG$1,0))*IF(OR(C369="L",C369="S",C369="I"),-1,1)</f>
        <v>0</v>
      </c>
      <c r="AY369" s="487" t="s">
        <v>337</v>
      </c>
      <c r="AZ369" s="487" t="e">
        <f>+VLOOKUP($AJ369,Data_Validation!$A:$E,5,0)</f>
        <v>#N/A</v>
      </c>
    </row>
    <row r="370" spans="1:52" ht="15.75" hidden="1" customHeight="1">
      <c r="A370" s="706" t="s">
        <v>1147</v>
      </c>
      <c r="B370" s="706">
        <v>2025</v>
      </c>
      <c r="C370" s="706" t="s">
        <v>1904</v>
      </c>
      <c r="D370" s="706" t="s">
        <v>1905</v>
      </c>
      <c r="E370" s="706" t="s">
        <v>1135</v>
      </c>
      <c r="F370" s="706" t="s">
        <v>1135</v>
      </c>
      <c r="G370" s="706">
        <v>0</v>
      </c>
      <c r="H370" s="706">
        <v>0</v>
      </c>
      <c r="I370" s="706">
        <v>0</v>
      </c>
      <c r="J370" s="706">
        <v>0</v>
      </c>
      <c r="K370" s="706">
        <v>0</v>
      </c>
      <c r="L370" s="706">
        <v>0</v>
      </c>
      <c r="M370" s="706">
        <v>0</v>
      </c>
      <c r="N370" s="706">
        <v>0</v>
      </c>
      <c r="O370" s="706">
        <v>0</v>
      </c>
      <c r="P370" s="706">
        <v>0</v>
      </c>
      <c r="Q370" s="706">
        <v>0</v>
      </c>
      <c r="R370" s="706">
        <v>15.18</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G22501</v>
      </c>
      <c r="AK370" s="905" t="str">
        <f t="shared" si="31"/>
        <v>CASHC</v>
      </c>
      <c r="AL370" s="905">
        <f>IFERROR(INDEX(G370:R370,1,MATCH(Parametres!$B$3,G$1:R$1,0)-1)*IF(OR(F370="L",F370="S",F370="I"),-1,1),"")</f>
        <v>0</v>
      </c>
      <c r="AM370" s="905">
        <f t="shared" si="32"/>
        <v>15.18</v>
      </c>
      <c r="AN370" s="905">
        <f>INDEX(G370:R370,1,MATCH(Parametres!$B$3,G$1:R$1,0))*IF(OR(F370="L",F370="S",F370="I"),-1,1)</f>
        <v>15.18</v>
      </c>
      <c r="AO370" s="487" t="str">
        <f>+VLOOKUP($AJ370,Data_Validation!$A:$D,1,0)</f>
        <v>G22501</v>
      </c>
      <c r="AP370" s="487" t="str">
        <f>+VLOOKUP($AJ370,Data_Validation!$A:$D,3,0)</f>
        <v>Bilan</v>
      </c>
      <c r="AQ370" s="487" t="str">
        <f>+VLOOKUP($AJ370,Data_Validation!$A:$D,4,0)</f>
        <v>Encaisse</v>
      </c>
      <c r="AR370" s="487" t="s">
        <v>299</v>
      </c>
      <c r="AS370" s="487">
        <f>+VLOOKUP($AJ370,Data_Validation!$A:$E,5,0)</f>
        <v>0</v>
      </c>
      <c r="AT370" s="904" t="str">
        <f t="shared" si="33"/>
        <v>G22501</v>
      </c>
      <c r="AU370" s="488" t="str">
        <f t="shared" si="34"/>
        <v>CASHC</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1147</v>
      </c>
      <c r="B371" s="706">
        <v>2025</v>
      </c>
      <c r="C371" s="706" t="s">
        <v>1906</v>
      </c>
      <c r="D371" s="706" t="s">
        <v>1907</v>
      </c>
      <c r="E371" s="706" t="s">
        <v>1135</v>
      </c>
      <c r="F371" s="706" t="s">
        <v>1135</v>
      </c>
      <c r="G371" s="706">
        <v>0</v>
      </c>
      <c r="H371" s="706">
        <v>0</v>
      </c>
      <c r="I371" s="706">
        <v>134.68</v>
      </c>
      <c r="J371" s="706">
        <v>134.68</v>
      </c>
      <c r="K371" s="706">
        <v>0</v>
      </c>
      <c r="L371" s="706">
        <v>0</v>
      </c>
      <c r="M371" s="706">
        <v>0</v>
      </c>
      <c r="N371" s="706">
        <v>9.07</v>
      </c>
      <c r="O371" s="706">
        <v>0</v>
      </c>
      <c r="P371" s="706">
        <v>-231.32</v>
      </c>
      <c r="Q371" s="706">
        <v>-86.18</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G22502</v>
      </c>
      <c r="AK371" s="905" t="str">
        <f t="shared" si="31"/>
        <v>DEBIT/INTERAC</v>
      </c>
      <c r="AL371" s="905">
        <f>IFERROR(INDEX(G371:R371,1,MATCH(Parametres!$B$3,G$1:R$1,0)-1)*IF(OR(F371="L",F371="S",F371="I"),-1,1),"")</f>
        <v>-86.18</v>
      </c>
      <c r="AM371" s="905">
        <f t="shared" si="32"/>
        <v>86.18</v>
      </c>
      <c r="AN371" s="905">
        <f>INDEX(G371:R371,1,MATCH(Parametres!$B$3,G$1:R$1,0))*IF(OR(F371="L",F371="S",F371="I"),-1,1)</f>
        <v>0</v>
      </c>
      <c r="AO371" s="487" t="str">
        <f>+VLOOKUP($AJ371,Data_Validation!$A:$D,1,0)</f>
        <v>G22502</v>
      </c>
      <c r="AP371" s="487" t="str">
        <f>+VLOOKUP($AJ371,Data_Validation!$A:$D,3,0)</f>
        <v>Bilan</v>
      </c>
      <c r="AQ371" s="487" t="str">
        <f>+VLOOKUP($AJ371,Data_Validation!$A:$D,4,0)</f>
        <v>Encaisse</v>
      </c>
      <c r="AR371" s="487" t="s">
        <v>299</v>
      </c>
      <c r="AS371" s="487">
        <f>+VLOOKUP($AJ371,Data_Validation!$A:$E,5,0)</f>
        <v>0</v>
      </c>
      <c r="AT371" s="904" t="str">
        <f t="shared" si="33"/>
        <v>G22502</v>
      </c>
      <c r="AU371" s="488" t="str">
        <f t="shared" si="34"/>
        <v>DEBIT/INTERAC</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1147</v>
      </c>
      <c r="B372" s="706">
        <v>2025</v>
      </c>
      <c r="C372" s="706" t="s">
        <v>1908</v>
      </c>
      <c r="D372" s="706" t="s">
        <v>1909</v>
      </c>
      <c r="E372" s="706" t="s">
        <v>1135</v>
      </c>
      <c r="F372" s="706" t="s">
        <v>1135</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G22503</v>
      </c>
      <c r="AK372" s="905" t="str">
        <f t="shared" si="31"/>
        <v>MASTER CARD</v>
      </c>
      <c r="AL372" s="905">
        <f>IFERROR(INDEX(G372:R372,1,MATCH(Parametres!$B$3,G$1:R$1,0)-1)*IF(OR(F372="L",F372="S",F372="I"),-1,1),"")</f>
        <v>0</v>
      </c>
      <c r="AM372" s="905">
        <f t="shared" si="32"/>
        <v>0</v>
      </c>
      <c r="AN372" s="905">
        <f>INDEX(G372:R372,1,MATCH(Parametres!$B$3,G$1:R$1,0))*IF(OR(F372="L",F372="S",F372="I"),-1,1)</f>
        <v>0</v>
      </c>
      <c r="AO372" s="487" t="str">
        <f>+VLOOKUP($AJ372,Data_Validation!$A:$D,1,0)</f>
        <v>G22503</v>
      </c>
      <c r="AP372" s="487" t="str">
        <f>+VLOOKUP($AJ372,Data_Validation!$A:$D,3,0)</f>
        <v>Bilan</v>
      </c>
      <c r="AQ372" s="487" t="str">
        <f>+VLOOKUP($AJ372,Data_Validation!$A:$D,4,0)</f>
        <v>Encaisse</v>
      </c>
      <c r="AR372" s="487" t="s">
        <v>299</v>
      </c>
      <c r="AS372" s="487">
        <f>+VLOOKUP($AJ372,Data_Validation!$A:$E,5,0)</f>
        <v>0</v>
      </c>
      <c r="AT372" s="904" t="str">
        <f t="shared" si="33"/>
        <v>G22503</v>
      </c>
      <c r="AU372" s="488" t="str">
        <f t="shared" si="34"/>
        <v>MASTER CARD</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1147</v>
      </c>
      <c r="B373" s="706">
        <v>2025</v>
      </c>
      <c r="C373" s="706" t="s">
        <v>1910</v>
      </c>
      <c r="D373" s="706" t="s">
        <v>1911</v>
      </c>
      <c r="E373" s="706" t="s">
        <v>1135</v>
      </c>
      <c r="F373" s="706" t="s">
        <v>1135</v>
      </c>
      <c r="G373" s="706">
        <v>0</v>
      </c>
      <c r="H373" s="706">
        <v>0</v>
      </c>
      <c r="I373" s="706">
        <v>0</v>
      </c>
      <c r="J373" s="706">
        <v>0</v>
      </c>
      <c r="K373" s="706">
        <v>0</v>
      </c>
      <c r="L373" s="706">
        <v>0</v>
      </c>
      <c r="M373" s="706">
        <v>0</v>
      </c>
      <c r="N373" s="706">
        <v>-347.8</v>
      </c>
      <c r="O373" s="706">
        <v>0</v>
      </c>
      <c r="P373" s="706">
        <v>0</v>
      </c>
      <c r="Q373" s="706">
        <v>-42.25</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G22504</v>
      </c>
      <c r="AK373" s="905" t="str">
        <f t="shared" si="31"/>
        <v>VISA</v>
      </c>
      <c r="AL373" s="905">
        <f>IFERROR(INDEX(G373:R373,1,MATCH(Parametres!$B$3,G$1:R$1,0)-1)*IF(OR(F373="L",F373="S",F373="I"),-1,1),"")</f>
        <v>-42.25</v>
      </c>
      <c r="AM373" s="905">
        <f t="shared" si="32"/>
        <v>42.25</v>
      </c>
      <c r="AN373" s="905">
        <f>INDEX(G373:R373,1,MATCH(Parametres!$B$3,G$1:R$1,0))*IF(OR(F373="L",F373="S",F373="I"),-1,1)</f>
        <v>0</v>
      </c>
      <c r="AO373" s="487" t="str">
        <f>+VLOOKUP($AJ373,Data_Validation!$A:$D,1,0)</f>
        <v>G22504</v>
      </c>
      <c r="AP373" s="487" t="str">
        <f>+VLOOKUP($AJ373,Data_Validation!$A:$D,3,0)</f>
        <v>Bilan</v>
      </c>
      <c r="AQ373" s="487" t="str">
        <f>+VLOOKUP($AJ373,Data_Validation!$A:$D,4,0)</f>
        <v>Encaisse</v>
      </c>
      <c r="AR373" s="487" t="s">
        <v>299</v>
      </c>
      <c r="AS373" s="487">
        <f>+VLOOKUP($AJ373,Data_Validation!$A:$E,5,0)</f>
        <v>0</v>
      </c>
      <c r="AT373" s="904" t="str">
        <f t="shared" si="33"/>
        <v>G22504</v>
      </c>
      <c r="AU373" s="488" t="str">
        <f t="shared" si="34"/>
        <v>VISA</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hidden="1" customHeight="1">
      <c r="A374" s="706" t="s">
        <v>1147</v>
      </c>
      <c r="B374" s="706">
        <v>2025</v>
      </c>
      <c r="C374" s="706" t="s">
        <v>1912</v>
      </c>
      <c r="D374" s="706" t="s">
        <v>1913</v>
      </c>
      <c r="E374" s="706" t="s">
        <v>1135</v>
      </c>
      <c r="F374" s="706" t="s">
        <v>1135</v>
      </c>
      <c r="G374" s="706">
        <v>0</v>
      </c>
      <c r="H374" s="706">
        <v>0</v>
      </c>
      <c r="I374" s="706">
        <v>0</v>
      </c>
      <c r="J374" s="706">
        <v>0</v>
      </c>
      <c r="K374" s="706">
        <v>0</v>
      </c>
      <c r="L374" s="706">
        <v>0</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G22505</v>
      </c>
      <c r="AK374" s="905" t="str">
        <f t="shared" si="31"/>
        <v>AMEX</v>
      </c>
      <c r="AL374" s="905">
        <f>IFERROR(INDEX(G374:R374,1,MATCH(Parametres!$B$3,G$1:R$1,0)-1)*IF(OR(F374="L",F374="S",F374="I"),-1,1),"")</f>
        <v>0</v>
      </c>
      <c r="AM374" s="905">
        <f t="shared" si="32"/>
        <v>0</v>
      </c>
      <c r="AN374" s="905">
        <f>INDEX(G374:R374,1,MATCH(Parametres!$B$3,G$1:R$1,0))*IF(OR(F374="L",F374="S",F374="I"),-1,1)</f>
        <v>0</v>
      </c>
      <c r="AO374" s="487" t="str">
        <f>+VLOOKUP($AJ374,Data_Validation!$A:$D,1,0)</f>
        <v>G22505</v>
      </c>
      <c r="AP374" s="487" t="str">
        <f>+VLOOKUP($AJ374,Data_Validation!$A:$D,3,0)</f>
        <v>Bilan</v>
      </c>
      <c r="AQ374" s="487" t="str">
        <f>+VLOOKUP($AJ374,Data_Validation!$A:$D,4,0)</f>
        <v>Encaisse</v>
      </c>
      <c r="AR374" s="487" t="s">
        <v>299</v>
      </c>
      <c r="AS374" s="487">
        <f>+VLOOKUP($AJ374,Data_Validation!$A:$E,5,0)</f>
        <v>0</v>
      </c>
      <c r="AT374" s="904" t="str">
        <f t="shared" si="33"/>
        <v>G22505</v>
      </c>
      <c r="AU374" s="488" t="str">
        <f t="shared" si="34"/>
        <v>AMEX</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1147</v>
      </c>
      <c r="B375" s="706">
        <v>2025</v>
      </c>
      <c r="C375" s="706" t="s">
        <v>1914</v>
      </c>
      <c r="D375" s="706" t="s">
        <v>1915</v>
      </c>
      <c r="E375" s="706" t="s">
        <v>1135</v>
      </c>
      <c r="F375" s="706" t="s">
        <v>1135</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G22506</v>
      </c>
      <c r="AK375" s="905" t="str">
        <f t="shared" si="31"/>
        <v>CHEQUES</v>
      </c>
      <c r="AL375" s="905">
        <f>IFERROR(INDEX(G375:R375,1,MATCH(Parametres!$B$3,G$1:R$1,0)-1)*IF(OR(F375="L",F375="S",F375="I"),-1,1),"")</f>
        <v>0</v>
      </c>
      <c r="AM375" s="905">
        <f t="shared" si="32"/>
        <v>0</v>
      </c>
      <c r="AN375" s="905">
        <f>INDEX(G375:R375,1,MATCH(Parametres!$B$3,G$1:R$1,0))*IF(OR(F375="L",F375="S",F375="I"),-1,1)</f>
        <v>0</v>
      </c>
      <c r="AO375" s="487" t="str">
        <f>+VLOOKUP($AJ375,Data_Validation!$A:$D,1,0)</f>
        <v>G22506</v>
      </c>
      <c r="AP375" s="487" t="str">
        <f>+VLOOKUP($AJ375,Data_Validation!$A:$D,3,0)</f>
        <v>Bilan</v>
      </c>
      <c r="AQ375" s="487" t="str">
        <f>+VLOOKUP($AJ375,Data_Validation!$A:$D,4,0)</f>
        <v>Encaisse</v>
      </c>
      <c r="AR375" s="487" t="s">
        <v>299</v>
      </c>
      <c r="AS375" s="487">
        <f>+VLOOKUP($AJ375,Data_Validation!$A:$E,5,0)</f>
        <v>0</v>
      </c>
      <c r="AT375" s="904" t="str">
        <f t="shared" si="33"/>
        <v>G22506</v>
      </c>
      <c r="AU375" s="488" t="str">
        <f t="shared" si="34"/>
        <v>CHEQUES</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customHeight="1">
      <c r="A376" s="706" t="s">
        <v>1147</v>
      </c>
      <c r="B376" s="706">
        <v>2025</v>
      </c>
      <c r="C376" s="706" t="s">
        <v>1916</v>
      </c>
      <c r="D376" s="706" t="s">
        <v>1917</v>
      </c>
      <c r="E376" s="706" t="s">
        <v>1142</v>
      </c>
      <c r="F376" s="706" t="s">
        <v>1135</v>
      </c>
      <c r="G376" s="706">
        <v>0</v>
      </c>
      <c r="H376" s="706">
        <v>0</v>
      </c>
      <c r="I376" s="706">
        <v>0</v>
      </c>
      <c r="J376" s="706">
        <v>0</v>
      </c>
      <c r="K376" s="706">
        <v>0</v>
      </c>
      <c r="L376" s="706">
        <v>0</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G23000</v>
      </c>
      <c r="AK376" s="905" t="str">
        <f t="shared" si="31"/>
        <v>VEHICULES USAGÉS GLOBE</v>
      </c>
      <c r="AL376" s="905">
        <f>IFERROR(INDEX(G376:R376,1,MATCH(Parametres!$B$3,G$1:R$1,0)-1)*IF(OR(F376="L",F376="S",F376="I"),-1,1),"")</f>
        <v>0</v>
      </c>
      <c r="AM376" s="905">
        <f t="shared" si="32"/>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t="str">
        <f t="shared" si="33"/>
        <v>G23000</v>
      </c>
      <c r="AU376" s="488" t="str">
        <f t="shared" si="34"/>
        <v>VEHICULES USAGÉS GLOBE</v>
      </c>
      <c r="AV376" s="899">
        <f>IFERROR(INDEX(V376:AG376,1,MATCH(Parametres!$B$3,V$1:AG$1,0)-1)*IF(OR(C376="L",C376="S",C376="I"),-1,1),"")</f>
        <v>0</v>
      </c>
      <c r="AW376" s="899">
        <f t="shared" si="35"/>
        <v>0</v>
      </c>
      <c r="AX376" s="899">
        <f>INDEX(V376:AG376,1,MATCH(Parametres!$B$3,V$1:AG$1,0))*IF(OR(C376="L",C376="S",C376="I"),-1,1)</f>
        <v>0</v>
      </c>
      <c r="AY376" s="487" t="s">
        <v>337</v>
      </c>
      <c r="AZ376" s="487" t="e">
        <f>+VLOOKUP($AJ376,Data_Validation!$A:$E,5,0)</f>
        <v>#N/A</v>
      </c>
    </row>
    <row r="377" spans="1:52" ht="15.75" hidden="1" customHeight="1">
      <c r="A377" s="706" t="s">
        <v>1147</v>
      </c>
      <c r="B377" s="706">
        <v>2025</v>
      </c>
      <c r="C377" s="706" t="s">
        <v>1918</v>
      </c>
      <c r="D377" s="706" t="s">
        <v>1919</v>
      </c>
      <c r="E377" s="706" t="s">
        <v>1142</v>
      </c>
      <c r="F377" s="706" t="s">
        <v>1135</v>
      </c>
      <c r="G377" s="706">
        <v>487574.88</v>
      </c>
      <c r="H377" s="706">
        <v>452454.77</v>
      </c>
      <c r="I377" s="706">
        <v>493801.4</v>
      </c>
      <c r="J377" s="706">
        <v>185112.05</v>
      </c>
      <c r="K377" s="706">
        <v>0</v>
      </c>
      <c r="L377" s="706">
        <v>93830</v>
      </c>
      <c r="M377" s="706">
        <v>93830</v>
      </c>
      <c r="N377" s="706">
        <v>146912</v>
      </c>
      <c r="O377" s="706">
        <v>506037</v>
      </c>
      <c r="P377" s="706">
        <v>247095</v>
      </c>
      <c r="Q377" s="706">
        <v>247095</v>
      </c>
      <c r="R377" s="706">
        <v>659811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G23100</v>
      </c>
      <c r="AK377" s="905" t="str">
        <f t="shared" si="31"/>
        <v>INV. AUTOS NEUVES</v>
      </c>
      <c r="AL377" s="905">
        <f>IFERROR(INDEX(G377:R377,1,MATCH(Parametres!$B$3,G$1:R$1,0)-1)*IF(OR(F377="L",F377="S",F377="I"),-1,1),"")</f>
        <v>247095</v>
      </c>
      <c r="AM377" s="905">
        <f t="shared" si="32"/>
        <v>412716</v>
      </c>
      <c r="AN377" s="905">
        <f>INDEX(G377:R377,1,MATCH(Parametres!$B$3,G$1:R$1,0))*IF(OR(F377="L",F377="S",F377="I"),-1,1)</f>
        <v>659811</v>
      </c>
      <c r="AO377" s="487" t="str">
        <f>+VLOOKUP($AJ377,Data_Validation!$A:$D,1,0)</f>
        <v>G23100</v>
      </c>
      <c r="AP377" s="487" t="str">
        <f>+VLOOKUP($AJ377,Data_Validation!$A:$D,3,0)</f>
        <v>Bilan</v>
      </c>
      <c r="AQ377" s="487" t="str">
        <f>+VLOOKUP($AJ377,Data_Validation!$A:$D,4,0)</f>
        <v>Inventaire Véhicules Neufs</v>
      </c>
      <c r="AR377" s="487" t="s">
        <v>299</v>
      </c>
      <c r="AS377" s="487">
        <f>+VLOOKUP($AJ377,Data_Validation!$A:$E,5,0)</f>
        <v>0</v>
      </c>
      <c r="AT377" s="904" t="str">
        <f t="shared" si="33"/>
        <v>G23100</v>
      </c>
      <c r="AU377" s="488" t="str">
        <f t="shared" si="34"/>
        <v>INV. AUTOS NEUVES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customHeight="1">
      <c r="A378" s="706" t="s">
        <v>1147</v>
      </c>
      <c r="B378" s="706">
        <v>2025</v>
      </c>
      <c r="C378" s="706" t="s">
        <v>1920</v>
      </c>
      <c r="D378" s="706" t="s">
        <v>1921</v>
      </c>
      <c r="E378" s="706" t="s">
        <v>1142</v>
      </c>
      <c r="F378" s="706" t="s">
        <v>1135</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G23500</v>
      </c>
      <c r="AK378" s="905" t="str">
        <f t="shared" si="31"/>
        <v>INV. CAM. POIDS MOY-NEUFS</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G23500</v>
      </c>
      <c r="AU378" s="488" t="str">
        <f t="shared" si="34"/>
        <v>INV. CAM. POIDS MOY-NEUFS</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1147</v>
      </c>
      <c r="B379" s="706">
        <v>2025</v>
      </c>
      <c r="C379" s="706" t="s">
        <v>1922</v>
      </c>
      <c r="D379" s="706" t="s">
        <v>1923</v>
      </c>
      <c r="E379" s="706" t="s">
        <v>1142</v>
      </c>
      <c r="F379" s="706" t="s">
        <v>1135</v>
      </c>
      <c r="G379" s="706">
        <v>16445354.779999999</v>
      </c>
      <c r="H379" s="706">
        <v>21875322.48</v>
      </c>
      <c r="I379" s="706">
        <v>35414629.079999998</v>
      </c>
      <c r="J379" s="706">
        <v>34295422.289999999</v>
      </c>
      <c r="K379" s="706">
        <v>32043485.539999999</v>
      </c>
      <c r="L379" s="706">
        <v>22652048.559999999</v>
      </c>
      <c r="M379" s="706">
        <v>21045244.640000001</v>
      </c>
      <c r="N379" s="706">
        <v>18733774.649999999</v>
      </c>
      <c r="O379" s="706">
        <v>22944449.890000001</v>
      </c>
      <c r="P379" s="706">
        <v>27915703.620000001</v>
      </c>
      <c r="Q379" s="706">
        <v>21140007.109999999</v>
      </c>
      <c r="R379" s="706">
        <v>27159422.390000001</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G23700</v>
      </c>
      <c r="AK379" s="905" t="str">
        <f t="shared" si="31"/>
        <v>INV. CAMIONS NEUFS</v>
      </c>
      <c r="AL379" s="905">
        <f>IFERROR(INDEX(G379:R379,1,MATCH(Parametres!$B$3,G$1:R$1,0)-1)*IF(OR(F379="L",F379="S",F379="I"),-1,1),"")</f>
        <v>21140007.109999999</v>
      </c>
      <c r="AM379" s="905">
        <f t="shared" si="32"/>
        <v>6019415.2800000012</v>
      </c>
      <c r="AN379" s="905">
        <f>INDEX(G379:R379,1,MATCH(Parametres!$B$3,G$1:R$1,0))*IF(OR(F379="L",F379="S",F379="I"),-1,1)</f>
        <v>27159422.390000001</v>
      </c>
      <c r="AO379" s="487" t="str">
        <f>+VLOOKUP($AJ379,Data_Validation!$A:$D,1,0)</f>
        <v>G23700</v>
      </c>
      <c r="AP379" s="487" t="str">
        <f>+VLOOKUP($AJ379,Data_Validation!$A:$D,3,0)</f>
        <v>Bilan</v>
      </c>
      <c r="AQ379" s="487" t="str">
        <f>+VLOOKUP($AJ379,Data_Validation!$A:$D,4,0)</f>
        <v>Inventaire Véhicules Neufs</v>
      </c>
      <c r="AR379" s="487" t="s">
        <v>299</v>
      </c>
      <c r="AS379" s="487">
        <f>+VLOOKUP($AJ379,Data_Validation!$A:$E,5,0)</f>
        <v>0</v>
      </c>
      <c r="AT379" s="904" t="str">
        <f t="shared" si="33"/>
        <v>G23700</v>
      </c>
      <c r="AU379" s="488" t="str">
        <f t="shared" si="34"/>
        <v>INV. CAMIONS NEUFS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1147</v>
      </c>
      <c r="B380" s="706">
        <v>2025</v>
      </c>
      <c r="C380" s="706" t="s">
        <v>1924</v>
      </c>
      <c r="D380" s="706" t="s">
        <v>1925</v>
      </c>
      <c r="E380" s="706" t="s">
        <v>1142</v>
      </c>
      <c r="F380" s="706" t="s">
        <v>1135</v>
      </c>
      <c r="G380" s="706">
        <v>793615.82</v>
      </c>
      <c r="H380" s="706">
        <v>745322.74</v>
      </c>
      <c r="I380" s="706">
        <v>708486.73</v>
      </c>
      <c r="J380" s="706">
        <v>477619.18</v>
      </c>
      <c r="K380" s="706">
        <v>466405.13</v>
      </c>
      <c r="L380" s="706">
        <v>349289.24</v>
      </c>
      <c r="M380" s="706">
        <v>210102.82</v>
      </c>
      <c r="N380" s="706">
        <v>435292.38</v>
      </c>
      <c r="O380" s="706">
        <v>302729.02</v>
      </c>
      <c r="P380" s="706">
        <v>1471229.32</v>
      </c>
      <c r="Q380" s="706">
        <v>902366.12</v>
      </c>
      <c r="R380" s="706">
        <v>620576.41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G24000</v>
      </c>
      <c r="AK380" s="905" t="str">
        <f t="shared" si="31"/>
        <v>INV. AUTOS USAGEES</v>
      </c>
      <c r="AL380" s="905">
        <f>IFERROR(INDEX(G380:R380,1,MATCH(Parametres!$B$3,G$1:R$1,0)-1)*IF(OR(F380="L",F380="S",F380="I"),-1,1),"")</f>
        <v>902366.12</v>
      </c>
      <c r="AM380" s="905">
        <f t="shared" si="32"/>
        <v>-281789.70999999996</v>
      </c>
      <c r="AN380" s="905">
        <f>INDEX(G380:R380,1,MATCH(Parametres!$B$3,G$1:R$1,0))*IF(OR(F380="L",F380="S",F380="I"),-1,1)</f>
        <v>620576.41</v>
      </c>
      <c r="AO380" s="487" t="str">
        <f>+VLOOKUP($AJ380,Data_Validation!$A:$D,1,0)</f>
        <v>G24000</v>
      </c>
      <c r="AP380" s="487" t="str">
        <f>+VLOOKUP($AJ380,Data_Validation!$A:$D,3,0)</f>
        <v>Bilan</v>
      </c>
      <c r="AQ380" s="487" t="str">
        <f>+VLOOKUP($AJ380,Data_Validation!$A:$D,4,0)</f>
        <v>Inventaire Véhicules Usagés</v>
      </c>
      <c r="AR380" s="487" t="s">
        <v>299</v>
      </c>
      <c r="AS380" s="487">
        <f>+VLOOKUP($AJ380,Data_Validation!$A:$E,5,0)</f>
        <v>0</v>
      </c>
      <c r="AT380" s="904" t="str">
        <f t="shared" si="33"/>
        <v>G24000</v>
      </c>
      <c r="AU380" s="488" t="str">
        <f t="shared" si="34"/>
        <v>INV. AUTOS USAGEES</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customHeight="1">
      <c r="A381" s="706" t="s">
        <v>1147</v>
      </c>
      <c r="B381" s="706">
        <v>2025</v>
      </c>
      <c r="C381" s="706" t="s">
        <v>1926</v>
      </c>
      <c r="D381" s="706" t="s">
        <v>1927</v>
      </c>
      <c r="E381" s="706" t="s">
        <v>1142</v>
      </c>
      <c r="F381" s="706" t="s">
        <v>1135</v>
      </c>
      <c r="G381" s="706">
        <v>42860.09</v>
      </c>
      <c r="H381" s="706">
        <v>42860.09</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G24001</v>
      </c>
      <c r="AK381" s="905" t="str">
        <f t="shared" si="31"/>
        <v>INVENTAIRE EBLOCK</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G24001</v>
      </c>
      <c r="AU381" s="488" t="str">
        <f t="shared" si="34"/>
        <v>INVENTAIRE EBLOCK</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1147</v>
      </c>
      <c r="B382" s="706">
        <v>2025</v>
      </c>
      <c r="C382" s="706" t="s">
        <v>1928</v>
      </c>
      <c r="D382" s="706" t="s">
        <v>1929</v>
      </c>
      <c r="E382" s="706" t="s">
        <v>1142</v>
      </c>
      <c r="F382" s="706" t="s">
        <v>1135</v>
      </c>
      <c r="G382" s="706">
        <v>2827925.02</v>
      </c>
      <c r="H382" s="706">
        <v>4607796.59</v>
      </c>
      <c r="I382" s="706">
        <v>1564929.81</v>
      </c>
      <c r="J382" s="706">
        <v>2843500.48</v>
      </c>
      <c r="K382" s="706">
        <v>3178901.77</v>
      </c>
      <c r="L382" s="706">
        <v>2747328.65</v>
      </c>
      <c r="M382" s="706">
        <v>3492252.47</v>
      </c>
      <c r="N382" s="706">
        <v>2371907.33</v>
      </c>
      <c r="O382" s="706">
        <v>2364529.04</v>
      </c>
      <c r="P382" s="706">
        <v>3010401.03</v>
      </c>
      <c r="Q382" s="706">
        <v>3504702.93</v>
      </c>
      <c r="R382" s="706">
        <v>8078341.46</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G24100</v>
      </c>
      <c r="AK382" s="905" t="str">
        <f t="shared" si="31"/>
        <v>INV. CAMIONS USAGES</v>
      </c>
      <c r="AL382" s="905">
        <f>IFERROR(INDEX(G382:R382,1,MATCH(Parametres!$B$3,G$1:R$1,0)-1)*IF(OR(F382="L",F382="S",F382="I"),-1,1),"")</f>
        <v>3504702.93</v>
      </c>
      <c r="AM382" s="905">
        <f t="shared" si="32"/>
        <v>4573638.5299999993</v>
      </c>
      <c r="AN382" s="905">
        <f>INDEX(G382:R382,1,MATCH(Parametres!$B$3,G$1:R$1,0))*IF(OR(F382="L",F382="S",F382="I"),-1,1)</f>
        <v>8078341.46</v>
      </c>
      <c r="AO382" s="487" t="str">
        <f>+VLOOKUP($AJ382,Data_Validation!$A:$D,1,0)</f>
        <v>G24100</v>
      </c>
      <c r="AP382" s="487" t="str">
        <f>+VLOOKUP($AJ382,Data_Validation!$A:$D,3,0)</f>
        <v>Bilan</v>
      </c>
      <c r="AQ382" s="487" t="str">
        <f>+VLOOKUP($AJ382,Data_Validation!$A:$D,4,0)</f>
        <v>Inventaire Véhicules Usagés</v>
      </c>
      <c r="AR382" s="487" t="s">
        <v>299</v>
      </c>
      <c r="AS382" s="487">
        <f>+VLOOKUP($AJ382,Data_Validation!$A:$E,5,0)</f>
        <v>0</v>
      </c>
      <c r="AT382" s="904" t="str">
        <f t="shared" si="33"/>
        <v>G24100</v>
      </c>
      <c r="AU382" s="488" t="str">
        <f t="shared" si="34"/>
        <v>INV. CAMIONS USAGES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1147</v>
      </c>
      <c r="B383" s="706">
        <v>2025</v>
      </c>
      <c r="C383" s="706" t="s">
        <v>1930</v>
      </c>
      <c r="D383" s="706" t="s">
        <v>1931</v>
      </c>
      <c r="E383" s="706" t="s">
        <v>1142</v>
      </c>
      <c r="F383" s="706" t="s">
        <v>1135</v>
      </c>
      <c r="G383" s="706">
        <v>8630050.0999999996</v>
      </c>
      <c r="H383" s="706">
        <v>13544210.84</v>
      </c>
      <c r="I383" s="706">
        <v>21514890.989999998</v>
      </c>
      <c r="J383" s="706">
        <v>19773475.530000001</v>
      </c>
      <c r="K383" s="706">
        <v>13106556.949999999</v>
      </c>
      <c r="L383" s="706">
        <v>6995958.3099999996</v>
      </c>
      <c r="M383" s="706">
        <v>4695997.71</v>
      </c>
      <c r="N383" s="706">
        <v>2325043.79</v>
      </c>
      <c r="O383" s="706">
        <v>1644034.03</v>
      </c>
      <c r="P383" s="706">
        <v>2482482.69</v>
      </c>
      <c r="Q383" s="706">
        <v>7581584.2400000002</v>
      </c>
      <c r="R383" s="706">
        <v>12336705.300000001</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G24103</v>
      </c>
      <c r="AK383" s="905" t="str">
        <f t="shared" si="31"/>
        <v>INV. VENTES U.S.A</v>
      </c>
      <c r="AL383" s="905">
        <f>IFERROR(INDEX(G383:R383,1,MATCH(Parametres!$B$3,G$1:R$1,0)-1)*IF(OR(F383="L",F383="S",F383="I"),-1,1),"")</f>
        <v>7581584.2400000002</v>
      </c>
      <c r="AM383" s="905">
        <f t="shared" si="32"/>
        <v>4755121.0600000005</v>
      </c>
      <c r="AN383" s="905">
        <f>INDEX(G383:R383,1,MATCH(Parametres!$B$3,G$1:R$1,0))*IF(OR(F383="L",F383="S",F383="I"),-1,1)</f>
        <v>12336705.300000001</v>
      </c>
      <c r="AO383" s="487" t="str">
        <f>+VLOOKUP($AJ383,Data_Validation!$A:$D,1,0)</f>
        <v>G24103</v>
      </c>
      <c r="AP383" s="487" t="str">
        <f>+VLOOKUP($AJ383,Data_Validation!$A:$D,3,0)</f>
        <v>Bilan</v>
      </c>
      <c r="AQ383" s="487" t="str">
        <f>+VLOOKUP($AJ383,Data_Validation!$A:$D,4,0)</f>
        <v>Inventaire Véhicules Usagés</v>
      </c>
      <c r="AR383" s="487" t="s">
        <v>299</v>
      </c>
      <c r="AS383" s="487">
        <f>+VLOOKUP($AJ383,Data_Validation!$A:$E,5,0)</f>
        <v>0</v>
      </c>
      <c r="AT383" s="904" t="str">
        <f t="shared" si="33"/>
        <v>G24103</v>
      </c>
      <c r="AU383" s="488" t="str">
        <f t="shared" si="34"/>
        <v>INV. VENTES U.S.A</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customHeight="1">
      <c r="A384" s="706" t="s">
        <v>1147</v>
      </c>
      <c r="B384" s="706">
        <v>2025</v>
      </c>
      <c r="C384" s="706" t="s">
        <v>1932</v>
      </c>
      <c r="D384" s="706" t="s">
        <v>1933</v>
      </c>
      <c r="E384" s="706" t="s">
        <v>333</v>
      </c>
      <c r="F384" s="706" t="s">
        <v>1135</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G242A</v>
      </c>
      <c r="AK384" s="905" t="str">
        <f t="shared" si="31"/>
        <v>PIECES D'ECHANGES</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G242A</v>
      </c>
      <c r="AU384" s="488" t="str">
        <f t="shared" si="34"/>
        <v>PIECES D'ECHANGES</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1147</v>
      </c>
      <c r="B385" s="706">
        <v>2025</v>
      </c>
      <c r="C385" s="706" t="s">
        <v>1934</v>
      </c>
      <c r="D385" s="706" t="s">
        <v>1935</v>
      </c>
      <c r="E385" s="706" t="s">
        <v>333</v>
      </c>
      <c r="F385" s="706" t="s">
        <v>1135</v>
      </c>
      <c r="G385" s="706">
        <v>391622.39</v>
      </c>
      <c r="H385" s="706">
        <v>221360</v>
      </c>
      <c r="I385" s="706">
        <v>179617.76</v>
      </c>
      <c r="J385" s="706">
        <v>126062.05</v>
      </c>
      <c r="K385" s="706">
        <v>66601.11</v>
      </c>
      <c r="L385" s="706">
        <v>246602.28</v>
      </c>
      <c r="M385" s="706">
        <v>274794.71000000002</v>
      </c>
      <c r="N385" s="706">
        <v>342605.14</v>
      </c>
      <c r="O385" s="706">
        <v>305943.8</v>
      </c>
      <c r="P385" s="706">
        <v>334474.39</v>
      </c>
      <c r="Q385" s="706">
        <v>331678.7</v>
      </c>
      <c r="R385" s="706">
        <v>447570.82</v>
      </c>
      <c r="S385" s="706">
        <v>0</v>
      </c>
      <c r="T385" s="706">
        <v>0</v>
      </c>
      <c r="U385" s="706">
        <v>159981</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G24200</v>
      </c>
      <c r="AK385" s="905" t="str">
        <f t="shared" si="31"/>
        <v>INV. DE PIECES</v>
      </c>
      <c r="AL385" s="905">
        <f>IFERROR(INDEX(G385:R385,1,MATCH(Parametres!$B$3,G$1:R$1,0)-1)*IF(OR(F385="L",F385="S",F385="I"),-1,1),"")</f>
        <v>331678.7</v>
      </c>
      <c r="AM385" s="905">
        <f t="shared" si="32"/>
        <v>115892.12</v>
      </c>
      <c r="AN385" s="905">
        <f>INDEX(G385:R385,1,MATCH(Parametres!$B$3,G$1:R$1,0))*IF(OR(F385="L",F385="S",F385="I"),-1,1)</f>
        <v>447570.82</v>
      </c>
      <c r="AO385" s="487" t="str">
        <f>+VLOOKUP($AJ385,Data_Validation!$A:$D,1,0)</f>
        <v>G24200</v>
      </c>
      <c r="AP385" s="487" t="str">
        <f>+VLOOKUP($AJ385,Data_Validation!$A:$D,3,0)</f>
        <v>Bilan</v>
      </c>
      <c r="AQ385" s="487" t="str">
        <f>+VLOOKUP($AJ385,Data_Validation!$A:$D,4,0)</f>
        <v>Inventaire Pièces, Pneus, Huile</v>
      </c>
      <c r="AR385" s="487" t="s">
        <v>299</v>
      </c>
      <c r="AS385" s="487">
        <f>+VLOOKUP($AJ385,Data_Validation!$A:$E,5,0)</f>
        <v>0</v>
      </c>
      <c r="AT385" s="904" t="str">
        <f t="shared" si="33"/>
        <v>G24200</v>
      </c>
      <c r="AU385" s="488" t="str">
        <f t="shared" si="34"/>
        <v>INV. DE PIECES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1147</v>
      </c>
      <c r="B386" s="706">
        <v>2025</v>
      </c>
      <c r="C386" s="706" t="s">
        <v>1936</v>
      </c>
      <c r="D386" s="706" t="s">
        <v>1937</v>
      </c>
      <c r="E386" s="706" t="s">
        <v>333</v>
      </c>
      <c r="F386" s="706" t="s">
        <v>1135</v>
      </c>
      <c r="G386" s="706">
        <v>339824.65</v>
      </c>
      <c r="H386" s="706">
        <v>310236.79999999999</v>
      </c>
      <c r="I386" s="706">
        <v>305627.90000000002</v>
      </c>
      <c r="J386" s="706">
        <v>308025.78000000003</v>
      </c>
      <c r="K386" s="706">
        <v>311747.68</v>
      </c>
      <c r="L386" s="706">
        <v>135192.66</v>
      </c>
      <c r="M386" s="706">
        <v>138535.14000000001</v>
      </c>
      <c r="N386" s="706">
        <v>144861.64000000001</v>
      </c>
      <c r="O386" s="706">
        <v>270203.94</v>
      </c>
      <c r="P386" s="706">
        <v>258530.78</v>
      </c>
      <c r="Q386" s="706">
        <v>244903.01</v>
      </c>
      <c r="R386" s="706">
        <v>138254.82</v>
      </c>
      <c r="S386" s="706">
        <v>0</v>
      </c>
      <c r="T386" s="706">
        <v>0</v>
      </c>
      <c r="U386" s="706">
        <v>-98401</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G24300</v>
      </c>
      <c r="AK386" s="905" t="str">
        <f t="shared" si="31"/>
        <v>INV. DE PNEUS</v>
      </c>
      <c r="AL386" s="905">
        <f>IFERROR(INDEX(G386:R386,1,MATCH(Parametres!$B$3,G$1:R$1,0)-1)*IF(OR(F386="L",F386="S",F386="I"),-1,1),"")</f>
        <v>244903.01</v>
      </c>
      <c r="AM386" s="905">
        <f t="shared" si="32"/>
        <v>-106648.19</v>
      </c>
      <c r="AN386" s="905">
        <f>INDEX(G386:R386,1,MATCH(Parametres!$B$3,G$1:R$1,0))*IF(OR(F386="L",F386="S",F386="I"),-1,1)</f>
        <v>138254.82</v>
      </c>
      <c r="AO386" s="487" t="str">
        <f>+VLOOKUP($AJ386,Data_Validation!$A:$D,1,0)</f>
        <v>G24300</v>
      </c>
      <c r="AP386" s="487" t="str">
        <f>+VLOOKUP($AJ386,Data_Validation!$A:$D,3,0)</f>
        <v>Bilan</v>
      </c>
      <c r="AQ386" s="487" t="str">
        <f>+VLOOKUP($AJ386,Data_Validation!$A:$D,4,0)</f>
        <v>Inventaire Pièces, Pneus, Huile</v>
      </c>
      <c r="AR386" s="487" t="s">
        <v>299</v>
      </c>
      <c r="AS386" s="487">
        <f>+VLOOKUP($AJ386,Data_Validation!$A:$E,5,0)</f>
        <v>0</v>
      </c>
      <c r="AT386" s="904" t="str">
        <f t="shared" si="33"/>
        <v>G24300</v>
      </c>
      <c r="AU386" s="488" t="str">
        <f t="shared" si="34"/>
        <v>INV. DE PNEUS</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customHeight="1">
      <c r="A387" s="706" t="s">
        <v>1147</v>
      </c>
      <c r="B387" s="706">
        <v>2025</v>
      </c>
      <c r="C387" s="706" t="s">
        <v>1938</v>
      </c>
      <c r="D387" s="706" t="s">
        <v>1939</v>
      </c>
      <c r="E387" s="706" t="s">
        <v>333</v>
      </c>
      <c r="F387" s="706" t="s">
        <v>1135</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G244</v>
      </c>
      <c r="AK387" s="905" t="str">
        <f t="shared" si="31"/>
        <v>INV. ESS.,HUILE,GRAISSE</v>
      </c>
      <c r="AL387" s="905">
        <f>IFERROR(INDEX(G387:R387,1,MATCH(Parametres!$B$3,G$1:R$1,0)-1)*IF(OR(F387="L",F387="S",F387="I"),-1,1),"")</f>
        <v>0</v>
      </c>
      <c r="AM387" s="905">
        <f t="shared" si="32"/>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t="str">
        <f t="shared" si="33"/>
        <v>G244</v>
      </c>
      <c r="AU387" s="488" t="str">
        <f t="shared" si="34"/>
        <v>INV. ESS.,HUILE,GRAISSE</v>
      </c>
      <c r="AV387" s="899">
        <f>IFERROR(INDEX(V387:AG387,1,MATCH(Parametres!$B$3,V$1:AG$1,0)-1)*IF(OR(C387="L",C387="S",C387="I"),-1,1),"")</f>
        <v>0</v>
      </c>
      <c r="AW387" s="899">
        <f t="shared" si="35"/>
        <v>0</v>
      </c>
      <c r="AX387" s="899">
        <f>INDEX(V387:AG387,1,MATCH(Parametres!$B$3,V$1:AG$1,0))*IF(OR(C387="L",C387="S",C387="I"),-1,1)</f>
        <v>0</v>
      </c>
      <c r="AY387" s="487" t="s">
        <v>337</v>
      </c>
      <c r="AZ387" s="487" t="e">
        <f>+VLOOKUP($AJ387,Data_Validation!$A:$E,5,0)</f>
        <v>#N/A</v>
      </c>
    </row>
    <row r="388" spans="1:52" ht="15.75" hidden="1" customHeight="1">
      <c r="A388" s="706" t="s">
        <v>1147</v>
      </c>
      <c r="B388" s="706">
        <v>2025</v>
      </c>
      <c r="C388" s="706" t="s">
        <v>1940</v>
      </c>
      <c r="D388" s="706" t="s">
        <v>3101</v>
      </c>
      <c r="E388" s="706" t="s">
        <v>333</v>
      </c>
      <c r="F388" s="706" t="s">
        <v>1135</v>
      </c>
      <c r="G388" s="706">
        <v>1753.27</v>
      </c>
      <c r="H388" s="706">
        <v>9088.27</v>
      </c>
      <c r="I388" s="706">
        <v>18373.84</v>
      </c>
      <c r="J388" s="706">
        <v>22686.84</v>
      </c>
      <c r="K388" s="706">
        <v>25759.58</v>
      </c>
      <c r="L388" s="706">
        <v>37021.629999999997</v>
      </c>
      <c r="M388" s="706">
        <v>37021.629999999997</v>
      </c>
      <c r="N388" s="706">
        <v>4727.28</v>
      </c>
      <c r="O388" s="706">
        <v>3562.72</v>
      </c>
      <c r="P388" s="706">
        <v>775.9</v>
      </c>
      <c r="Q388" s="706">
        <v>10985.42</v>
      </c>
      <c r="R388" s="706">
        <v>21967.97</v>
      </c>
      <c r="S388" s="706">
        <v>0</v>
      </c>
      <c r="T388" s="706">
        <v>0</v>
      </c>
      <c r="U388" s="706">
        <v>15806.56</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G24400</v>
      </c>
      <c r="AK388" s="905" t="str">
        <f t="shared" ref="AK388:AK451" si="37">D388</f>
        <v>HUILES</v>
      </c>
      <c r="AL388" s="905">
        <f>IFERROR(INDEX(G388:R388,1,MATCH(Parametres!$B$3,G$1:R$1,0)-1)*IF(OR(F388="L",F388="S",F388="I"),-1,1),"")</f>
        <v>10985.42</v>
      </c>
      <c r="AM388" s="905">
        <f t="shared" ref="AM388:AM451" si="38">AN388-AL388</f>
        <v>10982.550000000001</v>
      </c>
      <c r="AN388" s="905">
        <f>INDEX(G388:R388,1,MATCH(Parametres!$B$3,G$1:R$1,0))*IF(OR(F388="L",F388="S",F388="I"),-1,1)</f>
        <v>21967.97</v>
      </c>
      <c r="AO388" s="487" t="str">
        <f>+VLOOKUP($AJ388,Data_Validation!$A:$D,1,0)</f>
        <v>G24400</v>
      </c>
      <c r="AP388" s="487" t="str">
        <f>+VLOOKUP($AJ388,Data_Validation!$A:$D,3,0)</f>
        <v>Bilan</v>
      </c>
      <c r="AQ388" s="487" t="str">
        <f>+VLOOKUP($AJ388,Data_Validation!$A:$D,4,0)</f>
        <v>Inventaire Pièces, Pneus, Huile</v>
      </c>
      <c r="AR388" s="487" t="s">
        <v>299</v>
      </c>
      <c r="AS388" s="487">
        <f>+VLOOKUP($AJ388,Data_Validation!$A:$E,5,0)</f>
        <v>0</v>
      </c>
      <c r="AT388" s="904" t="str">
        <f t="shared" ref="AT388:AT451" si="39">C388</f>
        <v>G24400</v>
      </c>
      <c r="AU388" s="488" t="str">
        <f t="shared" ref="AU388:AU451" si="40">D388</f>
        <v>HUILES</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1147</v>
      </c>
      <c r="B389" s="706">
        <v>2025</v>
      </c>
      <c r="C389" s="706" t="s">
        <v>1942</v>
      </c>
      <c r="D389" s="706" t="s">
        <v>1943</v>
      </c>
      <c r="E389" s="706" t="s">
        <v>333</v>
      </c>
      <c r="F389" s="706" t="s">
        <v>1135</v>
      </c>
      <c r="G389" s="706">
        <v>33629.11</v>
      </c>
      <c r="H389" s="706">
        <v>34641.599999999999</v>
      </c>
      <c r="I389" s="706">
        <v>37917.5</v>
      </c>
      <c r="J389" s="706">
        <v>42318.86</v>
      </c>
      <c r="K389" s="706">
        <v>47889.58</v>
      </c>
      <c r="L389" s="706">
        <v>49861.1</v>
      </c>
      <c r="M389" s="706">
        <v>48649.760000000002</v>
      </c>
      <c r="N389" s="706">
        <v>62364.19</v>
      </c>
      <c r="O389" s="706">
        <v>73802.58</v>
      </c>
      <c r="P389" s="706">
        <v>79801.429999999993</v>
      </c>
      <c r="Q389" s="706">
        <v>79180.399999999994</v>
      </c>
      <c r="R389" s="706">
        <v>43759.929999999993</v>
      </c>
      <c r="S389" s="706">
        <v>0</v>
      </c>
      <c r="T389" s="706">
        <v>0</v>
      </c>
      <c r="U389" s="706">
        <v>-34955</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G24500</v>
      </c>
      <c r="AK389" s="905" t="str">
        <f t="shared" si="37"/>
        <v>INV. DE PEINTURE</v>
      </c>
      <c r="AL389" s="905">
        <f>IFERROR(INDEX(G389:R389,1,MATCH(Parametres!$B$3,G$1:R$1,0)-1)*IF(OR(F389="L",F389="S",F389="I"),-1,1),"")</f>
        <v>79180.399999999994</v>
      </c>
      <c r="AM389" s="905">
        <f t="shared" si="38"/>
        <v>-35420.47</v>
      </c>
      <c r="AN389" s="905">
        <f>INDEX(G389:R389,1,MATCH(Parametres!$B$3,G$1:R$1,0))*IF(OR(F389="L",F389="S",F389="I"),-1,1)</f>
        <v>43759.929999999993</v>
      </c>
      <c r="AO389" s="487" t="str">
        <f>+VLOOKUP($AJ389,Data_Validation!$A:$D,1,0)</f>
        <v>G24500</v>
      </c>
      <c r="AP389" s="487" t="str">
        <f>+VLOOKUP($AJ389,Data_Validation!$A:$D,3,0)</f>
        <v>Bilan</v>
      </c>
      <c r="AQ389" s="487" t="str">
        <f>+VLOOKUP($AJ389,Data_Validation!$A:$D,4,0)</f>
        <v>Inventaire Pièces, Pneus, Huile</v>
      </c>
      <c r="AR389" s="487" t="s">
        <v>299</v>
      </c>
      <c r="AS389" s="487">
        <f>+VLOOKUP($AJ389,Data_Validation!$A:$E,5,0)</f>
        <v>0</v>
      </c>
      <c r="AT389" s="904" t="str">
        <f t="shared" si="39"/>
        <v>G24500</v>
      </c>
      <c r="AU389" s="488" t="str">
        <f t="shared" si="40"/>
        <v>INV. DE PEINTURE</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1147</v>
      </c>
      <c r="B390" s="706">
        <v>2025</v>
      </c>
      <c r="C390" s="706" t="s">
        <v>1950</v>
      </c>
      <c r="D390" s="706" t="s">
        <v>1951</v>
      </c>
      <c r="E390" s="706" t="s">
        <v>1140</v>
      </c>
      <c r="F390" s="706" t="s">
        <v>1135</v>
      </c>
      <c r="G390" s="706">
        <v>4083.53</v>
      </c>
      <c r="H390" s="706">
        <v>940.25</v>
      </c>
      <c r="I390" s="706">
        <v>5033.95</v>
      </c>
      <c r="J390" s="706">
        <v>809.92</v>
      </c>
      <c r="K390" s="706">
        <v>1189.28</v>
      </c>
      <c r="L390" s="706">
        <v>1011.74</v>
      </c>
      <c r="M390" s="706">
        <v>2781.5</v>
      </c>
      <c r="N390" s="706">
        <v>1736.5</v>
      </c>
      <c r="O390" s="706">
        <v>2319.35</v>
      </c>
      <c r="P390" s="706">
        <v>1605.45</v>
      </c>
      <c r="Q390" s="706">
        <v>1114.95</v>
      </c>
      <c r="R390" s="706">
        <v>169.8</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G24600</v>
      </c>
      <c r="AK390" s="905" t="str">
        <f t="shared" si="37"/>
        <v>INV. SOUS-CONTRATS</v>
      </c>
      <c r="AL390" s="905">
        <f>IFERROR(INDEX(G390:R390,1,MATCH(Parametres!$B$3,G$1:R$1,0)-1)*IF(OR(F390="L",F390="S",F390="I"),-1,1),"")</f>
        <v>1114.95</v>
      </c>
      <c r="AM390" s="905">
        <f t="shared" si="38"/>
        <v>-945.15000000000009</v>
      </c>
      <c r="AN390" s="905">
        <f>INDEX(G390:R390,1,MATCH(Parametres!$B$3,G$1:R$1,0))*IF(OR(F390="L",F390="S",F390="I"),-1,1)</f>
        <v>169.8</v>
      </c>
      <c r="AO390" s="487" t="str">
        <f>+VLOOKUP($AJ390,Data_Validation!$A:$D,1,0)</f>
        <v>G24600</v>
      </c>
      <c r="AP390" s="487" t="str">
        <f>+VLOOKUP($AJ390,Data_Validation!$A:$D,3,0)</f>
        <v>Bilan</v>
      </c>
      <c r="AQ390" s="487" t="str">
        <f>+VLOOKUP($AJ390,Data_Validation!$A:$D,4,0)</f>
        <v>Sous-Traitance</v>
      </c>
      <c r="AR390" s="487" t="s">
        <v>299</v>
      </c>
      <c r="AS390" s="487">
        <f>+VLOOKUP($AJ390,Data_Validation!$A:$E,5,0)</f>
        <v>0</v>
      </c>
      <c r="AT390" s="904" t="str">
        <f t="shared" si="39"/>
        <v>G24600</v>
      </c>
      <c r="AU390" s="488" t="str">
        <f t="shared" si="40"/>
        <v>INV. SOUS-CONTRATS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1147</v>
      </c>
      <c r="B391" s="706">
        <v>2025</v>
      </c>
      <c r="C391" s="706" t="s">
        <v>1952</v>
      </c>
      <c r="D391" s="706" t="s">
        <v>1953</v>
      </c>
      <c r="E391" s="706" t="s">
        <v>1140</v>
      </c>
      <c r="F391" s="706" t="s">
        <v>1135</v>
      </c>
      <c r="G391" s="706">
        <v>45412.21</v>
      </c>
      <c r="H391" s="706">
        <v>22249.61</v>
      </c>
      <c r="I391" s="706">
        <v>27003.759999999998</v>
      </c>
      <c r="J391" s="706">
        <v>33486.31</v>
      </c>
      <c r="K391" s="706">
        <v>33707.629999999997</v>
      </c>
      <c r="L391" s="706">
        <v>47604.78</v>
      </c>
      <c r="M391" s="706">
        <v>29008.62</v>
      </c>
      <c r="N391" s="706">
        <v>37101.379999999997</v>
      </c>
      <c r="O391" s="706">
        <v>52212.85</v>
      </c>
      <c r="P391" s="706">
        <v>36398.230000000003</v>
      </c>
      <c r="Q391" s="706">
        <v>24682.85</v>
      </c>
      <c r="R391" s="706">
        <v>26414.69</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G24601</v>
      </c>
      <c r="AK391" s="905" t="str">
        <f t="shared" si="37"/>
        <v>INV. SOUS-CONTRAT BODY</v>
      </c>
      <c r="AL391" s="905">
        <f>IFERROR(INDEX(G391:R391,1,MATCH(Parametres!$B$3,G$1:R$1,0)-1)*IF(OR(F391="L",F391="S",F391="I"),-1,1),"")</f>
        <v>24682.85</v>
      </c>
      <c r="AM391" s="905">
        <f t="shared" si="38"/>
        <v>1731.8400000000001</v>
      </c>
      <c r="AN391" s="905">
        <f>INDEX(G391:R391,1,MATCH(Parametres!$B$3,G$1:R$1,0))*IF(OR(F391="L",F391="S",F391="I"),-1,1)</f>
        <v>26414.69</v>
      </c>
      <c r="AO391" s="487" t="str">
        <f>+VLOOKUP($AJ391,Data_Validation!$A:$D,1,0)</f>
        <v>G24601</v>
      </c>
      <c r="AP391" s="487" t="str">
        <f>+VLOOKUP($AJ391,Data_Validation!$A:$D,3,0)</f>
        <v>Bilan</v>
      </c>
      <c r="AQ391" s="487" t="str">
        <f>+VLOOKUP($AJ391,Data_Validation!$A:$D,4,0)</f>
        <v>Sous-Traitance</v>
      </c>
      <c r="AR391" s="487" t="s">
        <v>299</v>
      </c>
      <c r="AS391" s="487">
        <f>+VLOOKUP($AJ391,Data_Validation!$A:$E,5,0)</f>
        <v>0</v>
      </c>
      <c r="AT391" s="904" t="str">
        <f t="shared" si="39"/>
        <v>G24601</v>
      </c>
      <c r="AU391" s="488" t="str">
        <f t="shared" si="40"/>
        <v>INV. SOUS-CONTRAT BODY</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1147</v>
      </c>
      <c r="B392" s="706">
        <v>2025</v>
      </c>
      <c r="C392" s="706" t="s">
        <v>1956</v>
      </c>
      <c r="D392" s="706" t="s">
        <v>1957</v>
      </c>
      <c r="E392" s="706" t="s">
        <v>333</v>
      </c>
      <c r="F392" s="706" t="s">
        <v>1135</v>
      </c>
      <c r="G392" s="706">
        <v>8538.01</v>
      </c>
      <c r="H392" s="706">
        <v>10830.46</v>
      </c>
      <c r="I392" s="706">
        <v>4114.51</v>
      </c>
      <c r="J392" s="706">
        <v>5241.7299999999996</v>
      </c>
      <c r="K392" s="706">
        <v>11823.78</v>
      </c>
      <c r="L392" s="706">
        <v>3937.83</v>
      </c>
      <c r="M392" s="706">
        <v>10599.52</v>
      </c>
      <c r="N392" s="706">
        <v>11001.3</v>
      </c>
      <c r="O392" s="706">
        <v>5329.63</v>
      </c>
      <c r="P392" s="706">
        <v>11594.98</v>
      </c>
      <c r="Q392" s="706">
        <v>5094.8</v>
      </c>
      <c r="R392" s="706">
        <v>4741.9399999999996</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G24700</v>
      </c>
      <c r="AK392" s="905" t="str">
        <f t="shared" si="37"/>
        <v>TRAVAUX EN COURS</v>
      </c>
      <c r="AL392" s="905">
        <f>IFERROR(INDEX(G392:R392,1,MATCH(Parametres!$B$3,G$1:R$1,0)-1)*IF(OR(F392="L",F392="S",F392="I"),-1,1),"")</f>
        <v>5094.8</v>
      </c>
      <c r="AM392" s="905">
        <f t="shared" si="38"/>
        <v>-352.86000000000058</v>
      </c>
      <c r="AN392" s="905">
        <f>INDEX(G392:R392,1,MATCH(Parametres!$B$3,G$1:R$1,0))*IF(OR(F392="L",F392="S",F392="I"),-1,1)</f>
        <v>4741.9399999999996</v>
      </c>
      <c r="AO392" s="487" t="str">
        <f>+VLOOKUP($AJ392,Data_Validation!$A:$D,1,0)</f>
        <v>G24700</v>
      </c>
      <c r="AP392" s="487" t="str">
        <f>+VLOOKUP($AJ392,Data_Validation!$A:$D,3,0)</f>
        <v>Bilan</v>
      </c>
      <c r="AQ392" s="487" t="str">
        <f>+VLOOKUP($AJ392,Data_Validation!$A:$D,4,0)</f>
        <v>Travaux en Cours</v>
      </c>
      <c r="AR392" s="487" t="s">
        <v>299</v>
      </c>
      <c r="AS392" s="487">
        <f>+VLOOKUP($AJ392,Data_Validation!$A:$E,5,0)</f>
        <v>0</v>
      </c>
      <c r="AT392" s="904" t="str">
        <f t="shared" si="39"/>
        <v>G24700</v>
      </c>
      <c r="AU392" s="488" t="str">
        <f t="shared" si="40"/>
        <v>TRAVAUX EN COURS</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hidden="1" customHeight="1">
      <c r="A393" s="706" t="s">
        <v>1147</v>
      </c>
      <c r="B393" s="706">
        <v>2025</v>
      </c>
      <c r="C393" s="706" t="s">
        <v>1960</v>
      </c>
      <c r="D393" s="706" t="s">
        <v>1961</v>
      </c>
      <c r="E393" s="706" t="s">
        <v>333</v>
      </c>
      <c r="F393" s="706" t="s">
        <v>1135</v>
      </c>
      <c r="G393" s="706">
        <v>4419.4799999999996</v>
      </c>
      <c r="H393" s="706">
        <v>3152.84</v>
      </c>
      <c r="I393" s="706">
        <v>5506.24</v>
      </c>
      <c r="J393" s="706">
        <v>2259.33</v>
      </c>
      <c r="K393" s="706">
        <v>5738.46</v>
      </c>
      <c r="L393" s="706">
        <v>4811.84</v>
      </c>
      <c r="M393" s="706">
        <v>3959.63</v>
      </c>
      <c r="N393" s="706">
        <v>3670.2</v>
      </c>
      <c r="O393" s="706">
        <v>2012.96</v>
      </c>
      <c r="P393" s="706">
        <v>6688.07</v>
      </c>
      <c r="Q393" s="706">
        <v>1078.8699999999999</v>
      </c>
      <c r="R393" s="706">
        <v>939.27</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G24705</v>
      </c>
      <c r="AK393" s="905" t="str">
        <f t="shared" si="37"/>
        <v>TRAVAUX EN COURS-CARROSS</v>
      </c>
      <c r="AL393" s="905">
        <f>IFERROR(INDEX(G393:R393,1,MATCH(Parametres!$B$3,G$1:R$1,0)-1)*IF(OR(F393="L",F393="S",F393="I"),-1,1),"")</f>
        <v>1078.8699999999999</v>
      </c>
      <c r="AM393" s="905">
        <f t="shared" si="38"/>
        <v>-139.59999999999991</v>
      </c>
      <c r="AN393" s="905">
        <f>INDEX(G393:R393,1,MATCH(Parametres!$B$3,G$1:R$1,0))*IF(OR(F393="L",F393="S",F393="I"),-1,1)</f>
        <v>939.27</v>
      </c>
      <c r="AO393" s="487" t="str">
        <f>+VLOOKUP($AJ393,Data_Validation!$A:$D,1,0)</f>
        <v>G24705</v>
      </c>
      <c r="AP393" s="487" t="str">
        <f>+VLOOKUP($AJ393,Data_Validation!$A:$D,3,0)</f>
        <v>Bilan</v>
      </c>
      <c r="AQ393" s="487" t="str">
        <f>+VLOOKUP($AJ393,Data_Validation!$A:$D,4,0)</f>
        <v>Travaux en Cours</v>
      </c>
      <c r="AR393" s="487" t="s">
        <v>299</v>
      </c>
      <c r="AS393" s="487">
        <f>+VLOOKUP($AJ393,Data_Validation!$A:$E,5,0)</f>
        <v>0</v>
      </c>
      <c r="AT393" s="904" t="str">
        <f t="shared" si="39"/>
        <v>G24705</v>
      </c>
      <c r="AU393" s="488" t="str">
        <f t="shared" si="40"/>
        <v>TRAVAUX EN COURS-CARROSS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1147</v>
      </c>
      <c r="B394" s="706">
        <v>2025</v>
      </c>
      <c r="C394" s="706" t="s">
        <v>1964</v>
      </c>
      <c r="D394" s="706" t="s">
        <v>1965</v>
      </c>
      <c r="E394" s="706" t="s">
        <v>1138</v>
      </c>
      <c r="F394" s="706" t="s">
        <v>1135</v>
      </c>
      <c r="G394" s="706">
        <v>704750</v>
      </c>
      <c r="H394" s="706">
        <v>284500</v>
      </c>
      <c r="I394" s="706">
        <v>124000</v>
      </c>
      <c r="J394" s="706">
        <v>102641.60000000001</v>
      </c>
      <c r="K394" s="706">
        <v>208078.66</v>
      </c>
      <c r="L394" s="706">
        <v>157500</v>
      </c>
      <c r="M394" s="706">
        <v>122000</v>
      </c>
      <c r="N394" s="706">
        <v>94000</v>
      </c>
      <c r="O394" s="706">
        <v>112000</v>
      </c>
      <c r="P394" s="706">
        <v>77000</v>
      </c>
      <c r="Q394" s="706">
        <v>63000</v>
      </c>
      <c r="R394" s="706">
        <v>61000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G25000</v>
      </c>
      <c r="AK394" s="905" t="str">
        <f t="shared" si="37"/>
        <v>A RECEVOIR ROULEZ ELECT</v>
      </c>
      <c r="AL394" s="905">
        <f>IFERROR(INDEX(G394:R394,1,MATCH(Parametres!$B$3,G$1:R$1,0)-1)*IF(OR(F394="L",F394="S",F394="I"),-1,1),"")</f>
        <v>63000</v>
      </c>
      <c r="AM394" s="905">
        <f t="shared" si="38"/>
        <v>-2000</v>
      </c>
      <c r="AN394" s="905">
        <f>INDEX(G394:R394,1,MATCH(Parametres!$B$3,G$1:R$1,0))*IF(OR(F394="L",F394="S",F394="I"),-1,1)</f>
        <v>61000</v>
      </c>
      <c r="AO394" s="487" t="str">
        <f>+VLOOKUP($AJ394,Data_Validation!$A:$D,1,0)</f>
        <v>G25000</v>
      </c>
      <c r="AP394" s="487" t="str">
        <f>+VLOOKUP($AJ394,Data_Validation!$A:$D,3,0)</f>
        <v>Bilan</v>
      </c>
      <c r="AQ394" s="487" t="str">
        <f>+VLOOKUP($AJ394,Data_Validation!$A:$D,4,0)</f>
        <v>Recevables Autres</v>
      </c>
      <c r="AR394" s="487" t="s">
        <v>299</v>
      </c>
      <c r="AS394" s="487">
        <f>+VLOOKUP($AJ394,Data_Validation!$A:$E,5,0)</f>
        <v>0</v>
      </c>
      <c r="AT394" s="904" t="str">
        <f t="shared" si="39"/>
        <v>G25000</v>
      </c>
      <c r="AU394" s="488" t="str">
        <f t="shared" si="40"/>
        <v>A RECEVOIR ROULEZ ELECT</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customHeight="1">
      <c r="A395" s="706" t="s">
        <v>1147</v>
      </c>
      <c r="B395" s="706">
        <v>2025</v>
      </c>
      <c r="C395" s="706" t="s">
        <v>1966</v>
      </c>
      <c r="D395" s="706" t="s">
        <v>1967</v>
      </c>
      <c r="E395" s="706" t="s">
        <v>333</v>
      </c>
      <c r="F395" s="706" t="s">
        <v>1135</v>
      </c>
      <c r="G395" s="706">
        <v>0</v>
      </c>
      <c r="H395" s="706">
        <v>0</v>
      </c>
      <c r="I395" s="706">
        <v>0</v>
      </c>
      <c r="J395" s="706">
        <v>0</v>
      </c>
      <c r="K395" s="706">
        <v>0</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G258</v>
      </c>
      <c r="AK395" s="905" t="str">
        <f t="shared" si="37"/>
        <v>PNEUS USAGÉS</v>
      </c>
      <c r="AL395" s="905">
        <f>IFERROR(INDEX(G395:R395,1,MATCH(Parametres!$B$3,G$1:R$1,0)-1)*IF(OR(F395="L",F395="S",F395="I"),-1,1),"")</f>
        <v>0</v>
      </c>
      <c r="AM395" s="905">
        <f t="shared" si="38"/>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t="str">
        <f t="shared" si="39"/>
        <v>G258</v>
      </c>
      <c r="AU395" s="488" t="str">
        <f t="shared" si="40"/>
        <v>PNEUS USAGÉS</v>
      </c>
      <c r="AV395" s="899">
        <f>IFERROR(INDEX(V395:AG395,1,MATCH(Parametres!$B$3,V$1:AG$1,0)-1)*IF(OR(C395="L",C395="S",C395="I"),-1,1),"")</f>
        <v>0</v>
      </c>
      <c r="AW395" s="899">
        <f t="shared" si="41"/>
        <v>0</v>
      </c>
      <c r="AX395" s="899">
        <f>INDEX(V395:AG395,1,MATCH(Parametres!$B$3,V$1:AG$1,0))*IF(OR(C395="L",C395="S",C395="I"),-1,1)</f>
        <v>0</v>
      </c>
      <c r="AY395" s="487" t="s">
        <v>337</v>
      </c>
      <c r="AZ395" s="487" t="e">
        <f>+VLOOKUP($AJ395,Data_Validation!$A:$E,5,0)</f>
        <v>#N/A</v>
      </c>
    </row>
    <row r="396" spans="1:52" ht="15.75" customHeight="1">
      <c r="A396" s="706" t="s">
        <v>1147</v>
      </c>
      <c r="B396" s="706">
        <v>2025</v>
      </c>
      <c r="C396" s="706" t="s">
        <v>1968</v>
      </c>
      <c r="D396" s="706" t="s">
        <v>1969</v>
      </c>
      <c r="E396" s="706" t="s">
        <v>1134</v>
      </c>
      <c r="F396" s="706" t="s">
        <v>1135</v>
      </c>
      <c r="G396" s="706">
        <v>0</v>
      </c>
      <c r="H396" s="706">
        <v>0</v>
      </c>
      <c r="I396" s="706">
        <v>0</v>
      </c>
      <c r="J396" s="706">
        <v>0</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G25800</v>
      </c>
      <c r="AK396" s="905" t="str">
        <f t="shared" si="37"/>
        <v>PNEUS COURTOISIES</v>
      </c>
      <c r="AL396" s="905">
        <f>IFERROR(INDEX(G396:R396,1,MATCH(Parametres!$B$3,G$1:R$1,0)-1)*IF(OR(F396="L",F396="S",F396="I"),-1,1),"")</f>
        <v>0</v>
      </c>
      <c r="AM396" s="905">
        <f t="shared" si="38"/>
        <v>0</v>
      </c>
      <c r="AN396" s="905">
        <f>INDEX(G396:R396,1,MATCH(Parametres!$B$3,G$1:R$1,0))*IF(OR(F396="L",F396="S",F396="I"),-1,1)</f>
        <v>0</v>
      </c>
      <c r="AO396" s="487" t="str">
        <f>+VLOOKUP($AJ396,Data_Validation!$A:$D,1,0)</f>
        <v>G25800</v>
      </c>
      <c r="AP396" s="487">
        <f>+VLOOKUP($AJ396,Data_Validation!$A:$D,3,0)</f>
        <v>0</v>
      </c>
      <c r="AQ396" s="487">
        <f>+VLOOKUP($AJ396,Data_Validation!$A:$D,4,0)</f>
        <v>0</v>
      </c>
      <c r="AR396" s="487" t="s">
        <v>299</v>
      </c>
      <c r="AS396" s="487">
        <f>+VLOOKUP($AJ396,Data_Validation!$A:$E,5,0)</f>
        <v>0</v>
      </c>
      <c r="AT396" s="904" t="str">
        <f t="shared" si="39"/>
        <v>G25800</v>
      </c>
      <c r="AU396" s="488" t="str">
        <f t="shared" si="40"/>
        <v>PNEUS COURTOISIES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1147</v>
      </c>
      <c r="B397" s="706">
        <v>2025</v>
      </c>
      <c r="C397" s="706" t="s">
        <v>1970</v>
      </c>
      <c r="D397" s="706" t="s">
        <v>1971</v>
      </c>
      <c r="E397" s="706" t="s">
        <v>333</v>
      </c>
      <c r="F397" s="706" t="s">
        <v>1135</v>
      </c>
      <c r="G397" s="706">
        <v>307759</v>
      </c>
      <c r="H397" s="706">
        <v>307759</v>
      </c>
      <c r="I397" s="706">
        <v>307759</v>
      </c>
      <c r="J397" s="706">
        <v>307759</v>
      </c>
      <c r="K397" s="706">
        <v>307759</v>
      </c>
      <c r="L397" s="706">
        <v>-272876.02</v>
      </c>
      <c r="M397" s="706">
        <v>-272876.02</v>
      </c>
      <c r="N397" s="706">
        <v>-272876.02</v>
      </c>
      <c r="O397" s="706">
        <v>-272876.02</v>
      </c>
      <c r="P397" s="706">
        <v>-272876.02</v>
      </c>
      <c r="Q397" s="706">
        <v>-272876.02</v>
      </c>
      <c r="R397" s="706">
        <v>124974.69</v>
      </c>
      <c r="S397" s="706">
        <v>0</v>
      </c>
      <c r="T397" s="706">
        <v>0</v>
      </c>
      <c r="U397" s="706">
        <v>397850.71</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G26000</v>
      </c>
      <c r="AK397" s="905" t="str">
        <f t="shared" si="37"/>
        <v>PORTEFEUILLE</v>
      </c>
      <c r="AL397" s="905">
        <f>IFERROR(INDEX(G397:R397,1,MATCH(Parametres!$B$3,G$1:R$1,0)-1)*IF(OR(F397="L",F397="S",F397="I"),-1,1),"")</f>
        <v>-272876.02</v>
      </c>
      <c r="AM397" s="905">
        <f t="shared" si="38"/>
        <v>397850.71</v>
      </c>
      <c r="AN397" s="905">
        <f>INDEX(G397:R397,1,MATCH(Parametres!$B$3,G$1:R$1,0))*IF(OR(F397="L",F397="S",F397="I"),-1,1)</f>
        <v>124974.69</v>
      </c>
      <c r="AO397" s="487" t="str">
        <f>+VLOOKUP($AJ397,Data_Validation!$A:$D,1,0)</f>
        <v>G26000</v>
      </c>
      <c r="AP397" s="487" t="str">
        <f>+VLOOKUP($AJ397,Data_Validation!$A:$D,3,0)</f>
        <v>Bilan</v>
      </c>
      <c r="AQ397" s="487" t="str">
        <f>+VLOOKUP($AJ397,Data_Validation!$A:$D,4,0)</f>
        <v>Encaisse</v>
      </c>
      <c r="AR397" s="487" t="s">
        <v>299</v>
      </c>
      <c r="AS397" s="487">
        <f>+VLOOKUP($AJ397,Data_Validation!$A:$E,5,0)</f>
        <v>0</v>
      </c>
      <c r="AT397" s="904" t="str">
        <f t="shared" si="39"/>
        <v>G26000</v>
      </c>
      <c r="AU397" s="488" t="str">
        <f t="shared" si="40"/>
        <v>PORTEFEUILLE</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1147</v>
      </c>
      <c r="B398" s="706">
        <v>2025</v>
      </c>
      <c r="C398" s="706" t="s">
        <v>1972</v>
      </c>
      <c r="D398" s="706" t="s">
        <v>1973</v>
      </c>
      <c r="E398" s="706" t="s">
        <v>1138</v>
      </c>
      <c r="F398" s="706" t="s">
        <v>1135</v>
      </c>
      <c r="G398" s="706">
        <v>-27734.21</v>
      </c>
      <c r="H398" s="706">
        <v>-49368.08</v>
      </c>
      <c r="I398" s="706">
        <v>-73091.039999999994</v>
      </c>
      <c r="J398" s="706">
        <v>-56962.71</v>
      </c>
      <c r="K398" s="706">
        <v>-47306.8</v>
      </c>
      <c r="L398" s="706">
        <v>-21042.36</v>
      </c>
      <c r="M398" s="706">
        <v>-6158.05</v>
      </c>
      <c r="N398" s="706">
        <v>-16149.31</v>
      </c>
      <c r="O398" s="706">
        <v>-25366.71</v>
      </c>
      <c r="P398" s="706">
        <v>-32851.03</v>
      </c>
      <c r="Q398" s="706">
        <v>-41501.9</v>
      </c>
      <c r="R398" s="706">
        <v>-39533.040000000001</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G26101</v>
      </c>
      <c r="AK398" s="905" t="str">
        <f t="shared" si="37"/>
        <v>INSPECTIONS (PDI)</v>
      </c>
      <c r="AL398" s="905">
        <f>IFERROR(INDEX(G398:R398,1,MATCH(Parametres!$B$3,G$1:R$1,0)-1)*IF(OR(F398="L",F398="S",F398="I"),-1,1),"")</f>
        <v>-41501.9</v>
      </c>
      <c r="AM398" s="905">
        <f t="shared" si="38"/>
        <v>1968.8600000000006</v>
      </c>
      <c r="AN398" s="905">
        <f>INDEX(G398:R398,1,MATCH(Parametres!$B$3,G$1:R$1,0))*IF(OR(F398="L",F398="S",F398="I"),-1,1)</f>
        <v>-39533.040000000001</v>
      </c>
      <c r="AO398" s="487" t="str">
        <f>+VLOOKUP($AJ398,Data_Validation!$A:$D,1,0)</f>
        <v>G26101</v>
      </c>
      <c r="AP398" s="487" t="str">
        <f>+VLOOKUP($AJ398,Data_Validation!$A:$D,3,0)</f>
        <v>Bilan</v>
      </c>
      <c r="AQ398" s="487" t="str">
        <f>+VLOOKUP($AJ398,Data_Validation!$A:$D,4,0)</f>
        <v>Recevables Manufacturier</v>
      </c>
      <c r="AR398" s="487" t="s">
        <v>299</v>
      </c>
      <c r="AS398" s="487">
        <f>+VLOOKUP($AJ398,Data_Validation!$A:$E,5,0)</f>
        <v>0</v>
      </c>
      <c r="AT398" s="904" t="str">
        <f t="shared" si="39"/>
        <v>G26101</v>
      </c>
      <c r="AU398" s="488" t="str">
        <f t="shared" si="40"/>
        <v>INSPECTIONS (PDI)</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1147</v>
      </c>
      <c r="B399" s="706">
        <v>2025</v>
      </c>
      <c r="C399" s="706" t="s">
        <v>1974</v>
      </c>
      <c r="D399" s="706" t="s">
        <v>1975</v>
      </c>
      <c r="E399" s="706" t="s">
        <v>1138</v>
      </c>
      <c r="F399" s="706" t="s">
        <v>1135</v>
      </c>
      <c r="G399" s="706">
        <v>189309.71</v>
      </c>
      <c r="H399" s="706">
        <v>-25694.78</v>
      </c>
      <c r="I399" s="706">
        <v>6957.07</v>
      </c>
      <c r="J399" s="706">
        <v>84076.45</v>
      </c>
      <c r="K399" s="706">
        <v>257039.09</v>
      </c>
      <c r="L399" s="706">
        <v>375682.46</v>
      </c>
      <c r="M399" s="706">
        <v>360487.48</v>
      </c>
      <c r="N399" s="706">
        <v>422170.03</v>
      </c>
      <c r="O399" s="706">
        <v>316095.13</v>
      </c>
      <c r="P399" s="706">
        <v>98972.09</v>
      </c>
      <c r="Q399" s="706">
        <v>24421.37</v>
      </c>
      <c r="R399" s="706">
        <v>25276.46</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G26103</v>
      </c>
      <c r="AK399" s="905" t="str">
        <f t="shared" si="37"/>
        <v>PROGRAMMES DIVERS</v>
      </c>
      <c r="AL399" s="905">
        <f>IFERROR(INDEX(G399:R399,1,MATCH(Parametres!$B$3,G$1:R$1,0)-1)*IF(OR(F399="L",F399="S",F399="I"),-1,1),"")</f>
        <v>24421.37</v>
      </c>
      <c r="AM399" s="905">
        <f t="shared" si="38"/>
        <v>855.09000000000015</v>
      </c>
      <c r="AN399" s="905">
        <f>INDEX(G399:R399,1,MATCH(Parametres!$B$3,G$1:R$1,0))*IF(OR(F399="L",F399="S",F399="I"),-1,1)</f>
        <v>25276.46</v>
      </c>
      <c r="AO399" s="487" t="str">
        <f>+VLOOKUP($AJ399,Data_Validation!$A:$D,1,0)</f>
        <v>G26103</v>
      </c>
      <c r="AP399" s="487" t="str">
        <f>+VLOOKUP($AJ399,Data_Validation!$A:$D,3,0)</f>
        <v>Bilan</v>
      </c>
      <c r="AQ399" s="487" t="str">
        <f>+VLOOKUP($AJ399,Data_Validation!$A:$D,4,0)</f>
        <v>Recevables Manufacturier</v>
      </c>
      <c r="AR399" s="487" t="s">
        <v>299</v>
      </c>
      <c r="AS399" s="487">
        <f>+VLOOKUP($AJ399,Data_Validation!$A:$E,5,0)</f>
        <v>0</v>
      </c>
      <c r="AT399" s="904" t="str">
        <f t="shared" si="39"/>
        <v>G26103</v>
      </c>
      <c r="AU399" s="488" t="str">
        <f t="shared" si="40"/>
        <v>PROGRAMMES DIVERS</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1147</v>
      </c>
      <c r="B400" s="706">
        <v>2025</v>
      </c>
      <c r="C400" s="706" t="s">
        <v>1976</v>
      </c>
      <c r="D400" s="706" t="s">
        <v>1977</v>
      </c>
      <c r="E400" s="706" t="s">
        <v>1138</v>
      </c>
      <c r="F400" s="706" t="s">
        <v>1135</v>
      </c>
      <c r="G400" s="706">
        <v>108528</v>
      </c>
      <c r="H400" s="706">
        <v>221908</v>
      </c>
      <c r="I400" s="706">
        <v>626534</v>
      </c>
      <c r="J400" s="706">
        <v>348809</v>
      </c>
      <c r="K400" s="706">
        <v>146609</v>
      </c>
      <c r="L400" s="706">
        <v>532928.86</v>
      </c>
      <c r="M400" s="706">
        <v>75069</v>
      </c>
      <c r="N400" s="706">
        <v>-100286</v>
      </c>
      <c r="O400" s="706">
        <v>-64667.06</v>
      </c>
      <c r="P400" s="706">
        <v>-93215.71</v>
      </c>
      <c r="Q400" s="706">
        <v>38998.910000000003</v>
      </c>
      <c r="R400" s="706">
        <v>-42708.86</v>
      </c>
      <c r="S400" s="706">
        <v>0</v>
      </c>
      <c r="T400" s="706">
        <v>0</v>
      </c>
      <c r="U400" s="706">
        <v>5608.8</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G26104</v>
      </c>
      <c r="AK400" s="905" t="str">
        <f t="shared" si="37"/>
        <v>PROGRAMMES FLOTTES</v>
      </c>
      <c r="AL400" s="905">
        <f>IFERROR(INDEX(G400:R400,1,MATCH(Parametres!$B$3,G$1:R$1,0)-1)*IF(OR(F400="L",F400="S",F400="I"),-1,1),"")</f>
        <v>38998.910000000003</v>
      </c>
      <c r="AM400" s="905">
        <f t="shared" si="38"/>
        <v>-81707.77</v>
      </c>
      <c r="AN400" s="905">
        <f>INDEX(G400:R400,1,MATCH(Parametres!$B$3,G$1:R$1,0))*IF(OR(F400="L",F400="S",F400="I"),-1,1)</f>
        <v>-42708.86</v>
      </c>
      <c r="AO400" s="487" t="str">
        <f>+VLOOKUP($AJ400,Data_Validation!$A:$D,1,0)</f>
        <v>G26104</v>
      </c>
      <c r="AP400" s="487" t="str">
        <f>+VLOOKUP($AJ400,Data_Validation!$A:$D,3,0)</f>
        <v>Bilan</v>
      </c>
      <c r="AQ400" s="487" t="str">
        <f>+VLOOKUP($AJ400,Data_Validation!$A:$D,4,0)</f>
        <v>Recevables Manufacturier</v>
      </c>
      <c r="AR400" s="487" t="s">
        <v>299</v>
      </c>
      <c r="AS400" s="487">
        <f>+VLOOKUP($AJ400,Data_Validation!$A:$E,5,0)</f>
        <v>0</v>
      </c>
      <c r="AT400" s="904" t="str">
        <f t="shared" si="39"/>
        <v>G26104</v>
      </c>
      <c r="AU400" s="488" t="str">
        <f t="shared" si="40"/>
        <v>PROGRAMMES FLOTTES</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hidden="1" customHeight="1">
      <c r="A401" s="706" t="s">
        <v>1147</v>
      </c>
      <c r="B401" s="706">
        <v>2025</v>
      </c>
      <c r="C401" s="706" t="s">
        <v>1978</v>
      </c>
      <c r="D401" s="706" t="s">
        <v>1979</v>
      </c>
      <c r="E401" s="706" t="s">
        <v>333</v>
      </c>
      <c r="F401" s="706" t="s">
        <v>1135</v>
      </c>
      <c r="G401" s="706">
        <v>13016.23</v>
      </c>
      <c r="H401" s="706">
        <v>10660.03</v>
      </c>
      <c r="I401" s="706">
        <v>7459.03</v>
      </c>
      <c r="J401" s="706">
        <v>20215.03</v>
      </c>
      <c r="K401" s="706">
        <v>17300.34</v>
      </c>
      <c r="L401" s="706">
        <v>14647.14</v>
      </c>
      <c r="M401" s="706">
        <v>11652.74</v>
      </c>
      <c r="N401" s="706">
        <v>9388.94</v>
      </c>
      <c r="O401" s="706">
        <v>7164.74</v>
      </c>
      <c r="P401" s="706">
        <v>22272.14</v>
      </c>
      <c r="Q401" s="706">
        <v>19922.54</v>
      </c>
      <c r="R401" s="706">
        <v>17988.740000000002</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G26155</v>
      </c>
      <c r="AK401" s="905" t="str">
        <f t="shared" si="37"/>
        <v>VIGNETTES AUTO / CAMIONS</v>
      </c>
      <c r="AL401" s="905">
        <f>IFERROR(INDEX(G401:R401,1,MATCH(Parametres!$B$3,G$1:R$1,0)-1)*IF(OR(F401="L",F401="S",F401="I"),-1,1),"")</f>
        <v>19922.54</v>
      </c>
      <c r="AM401" s="905">
        <f t="shared" si="38"/>
        <v>-1933.7999999999993</v>
      </c>
      <c r="AN401" s="905">
        <f>INDEX(G401:R401,1,MATCH(Parametres!$B$3,G$1:R$1,0))*IF(OR(F401="L",F401="S",F401="I"),-1,1)</f>
        <v>17988.740000000002</v>
      </c>
      <c r="AO401" s="487" t="str">
        <f>+VLOOKUP($AJ401,Data_Validation!$A:$D,1,0)</f>
        <v>G26155</v>
      </c>
      <c r="AP401" s="487" t="str">
        <f>+VLOOKUP($AJ401,Data_Validation!$A:$D,3,0)</f>
        <v>Bilan</v>
      </c>
      <c r="AQ401" s="487" t="str">
        <f>+VLOOKUP($AJ401,Data_Validation!$A:$D,4,0)</f>
        <v>Frais Payés d'Avance</v>
      </c>
      <c r="AR401" s="487" t="s">
        <v>299</v>
      </c>
      <c r="AS401" s="487">
        <f>+VLOOKUP($AJ401,Data_Validation!$A:$E,5,0)</f>
        <v>0</v>
      </c>
      <c r="AT401" s="904" t="str">
        <f t="shared" si="39"/>
        <v>G26155</v>
      </c>
      <c r="AU401" s="488" t="str">
        <f t="shared" si="40"/>
        <v>VIGNETTES AUTO / CAMIONS</v>
      </c>
      <c r="AV401" s="899">
        <f>IFERROR(INDEX(V401:AG401,1,MATCH(Parametres!$B$3,V$1:AG$1,0)-1)*IF(OR(C401="L",C401="S",C401="I"),-1,1),"")</f>
        <v>0</v>
      </c>
      <c r="AW401" s="899">
        <f t="shared" si="41"/>
        <v>0</v>
      </c>
      <c r="AX401" s="899">
        <f>INDEX(V401:AG401,1,MATCH(Parametres!$B$3,V$1:AG$1,0))*IF(OR(C401="L",C401="S",C401="I"),-1,1)</f>
        <v>0</v>
      </c>
      <c r="AY401" s="487" t="s">
        <v>337</v>
      </c>
      <c r="AZ401" s="487">
        <f>+VLOOKUP($AJ401,Data_Validation!$A:$E,5,0)</f>
        <v>0</v>
      </c>
    </row>
    <row r="402" spans="1:52" ht="15.75" hidden="1" customHeight="1">
      <c r="A402" s="706" t="s">
        <v>1147</v>
      </c>
      <c r="B402" s="706">
        <v>2025</v>
      </c>
      <c r="C402" s="706" t="s">
        <v>1980</v>
      </c>
      <c r="D402" s="706" t="s">
        <v>1981</v>
      </c>
      <c r="E402" s="706" t="s">
        <v>1134</v>
      </c>
      <c r="F402" s="706" t="s">
        <v>1135</v>
      </c>
      <c r="G402" s="706">
        <v>3283.88</v>
      </c>
      <c r="H402" s="706">
        <v>2627.5</v>
      </c>
      <c r="I402" s="706">
        <v>48566.93</v>
      </c>
      <c r="J402" s="706">
        <v>2993.02</v>
      </c>
      <c r="K402" s="706">
        <v>24096.62</v>
      </c>
      <c r="L402" s="706">
        <v>12782.79</v>
      </c>
      <c r="M402" s="706">
        <v>-11963.9</v>
      </c>
      <c r="N402" s="706">
        <v>2487.73</v>
      </c>
      <c r="O402" s="706">
        <v>9485.8700000000008</v>
      </c>
      <c r="P402" s="706">
        <v>6107.21</v>
      </c>
      <c r="Q402" s="706">
        <v>3007.57</v>
      </c>
      <c r="R402" s="706">
        <v>-9284.43</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G26300</v>
      </c>
      <c r="AK402" s="905" t="str">
        <f t="shared" si="37"/>
        <v>RECLAMATION EN GARANTIE</v>
      </c>
      <c r="AL402" s="905">
        <f>IFERROR(INDEX(G402:R402,1,MATCH(Parametres!$B$3,G$1:R$1,0)-1)*IF(OR(F402="L",F402="S",F402="I"),-1,1),"")</f>
        <v>3007.57</v>
      </c>
      <c r="AM402" s="905">
        <f t="shared" si="38"/>
        <v>-12292</v>
      </c>
      <c r="AN402" s="905">
        <f>INDEX(G402:R402,1,MATCH(Parametres!$B$3,G$1:R$1,0))*IF(OR(F402="L",F402="S",F402="I"),-1,1)</f>
        <v>-9284.43</v>
      </c>
      <c r="AO402" s="487" t="str">
        <f>+VLOOKUP($AJ402,Data_Validation!$A:$D,1,0)</f>
        <v>G26300</v>
      </c>
      <c r="AP402" s="487" t="str">
        <f>+VLOOKUP($AJ402,Data_Validation!$A:$D,3,0)</f>
        <v>Bilan</v>
      </c>
      <c r="AQ402" s="487" t="str">
        <f>+VLOOKUP($AJ402,Data_Validation!$A:$D,4,0)</f>
        <v>Recevables Garantie Manufacturier</v>
      </c>
      <c r="AR402" s="487" t="s">
        <v>299</v>
      </c>
      <c r="AS402" s="487">
        <f>+VLOOKUP($AJ402,Data_Validation!$A:$E,5,0)</f>
        <v>0</v>
      </c>
      <c r="AT402" s="904" t="str">
        <f t="shared" si="39"/>
        <v>G26300</v>
      </c>
      <c r="AU402" s="488" t="str">
        <f t="shared" si="40"/>
        <v>RECLAMATION EN GARANTIE</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customHeight="1">
      <c r="A403" s="706" t="s">
        <v>1147</v>
      </c>
      <c r="B403" s="706">
        <v>2025</v>
      </c>
      <c r="C403" s="706" t="s">
        <v>1982</v>
      </c>
      <c r="D403" s="706" t="s">
        <v>1983</v>
      </c>
      <c r="E403" s="706" t="s">
        <v>1134</v>
      </c>
      <c r="F403" s="706" t="s">
        <v>1135</v>
      </c>
      <c r="G403" s="706">
        <v>0</v>
      </c>
      <c r="H403" s="706">
        <v>0</v>
      </c>
      <c r="I403" s="706">
        <v>0</v>
      </c>
      <c r="J403" s="706">
        <v>0</v>
      </c>
      <c r="K403" s="706">
        <v>0</v>
      </c>
      <c r="L403" s="706">
        <v>0</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G26302</v>
      </c>
      <c r="AK403" s="905" t="str">
        <f t="shared" si="37"/>
        <v>RECLAMATIONS P.P.C.</v>
      </c>
      <c r="AL403" s="905">
        <f>IFERROR(INDEX(G403:R403,1,MATCH(Parametres!$B$3,G$1:R$1,0)-1)*IF(OR(F403="L",F403="S",F403="I"),-1,1),"")</f>
        <v>0</v>
      </c>
      <c r="AM403" s="905">
        <f t="shared" si="38"/>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t="str">
        <f t="shared" si="39"/>
        <v>G26302</v>
      </c>
      <c r="AU403" s="488" t="str">
        <f t="shared" si="40"/>
        <v>RECLAMATIONS P.P.C.</v>
      </c>
      <c r="AV403" s="899">
        <f>IFERROR(INDEX(V403:AG403,1,MATCH(Parametres!$B$3,V$1:AG$1,0)-1)*IF(OR(C403="L",C403="S",C403="I"),-1,1),"")</f>
        <v>0</v>
      </c>
      <c r="AW403" s="899">
        <f t="shared" si="41"/>
        <v>0</v>
      </c>
      <c r="AX403" s="899">
        <f>INDEX(V403:AG403,1,MATCH(Parametres!$B$3,V$1:AG$1,0))*IF(OR(C403="L",C403="S",C403="I"),-1,1)</f>
        <v>0</v>
      </c>
      <c r="AY403" s="487" t="s">
        <v>337</v>
      </c>
      <c r="AZ403" s="487" t="e">
        <f>+VLOOKUP($AJ403,Data_Validation!$A:$E,5,0)</f>
        <v>#N/A</v>
      </c>
    </row>
    <row r="404" spans="1:52" ht="15.75" customHeight="1">
      <c r="A404" s="706" t="s">
        <v>1147</v>
      </c>
      <c r="B404" s="706">
        <v>2025</v>
      </c>
      <c r="C404" s="706" t="s">
        <v>1984</v>
      </c>
      <c r="D404" s="706" t="s">
        <v>1985</v>
      </c>
      <c r="E404" s="706" t="s">
        <v>1134</v>
      </c>
      <c r="F404" s="706" t="s">
        <v>1135</v>
      </c>
      <c r="G404" s="706">
        <v>0</v>
      </c>
      <c r="H404" s="706">
        <v>0</v>
      </c>
      <c r="I404" s="706">
        <v>0</v>
      </c>
      <c r="J404" s="706">
        <v>0</v>
      </c>
      <c r="K404" s="706">
        <v>0</v>
      </c>
      <c r="L404" s="706">
        <v>0</v>
      </c>
      <c r="M404" s="706">
        <v>0</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G26303</v>
      </c>
      <c r="AK404" s="905" t="str">
        <f t="shared" si="37"/>
        <v>DEDUCTIBLE CLAIMS</v>
      </c>
      <c r="AL404" s="905">
        <f>IFERROR(INDEX(G404:R404,1,MATCH(Parametres!$B$3,G$1:R$1,0)-1)*IF(OR(F404="L",F404="S",F404="I"),-1,1),"")</f>
        <v>0</v>
      </c>
      <c r="AM404" s="905">
        <f t="shared" si="38"/>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t="str">
        <f t="shared" si="39"/>
        <v>G26303</v>
      </c>
      <c r="AU404" s="488" t="str">
        <f t="shared" si="40"/>
        <v>DEDUCTIBLE CLAIMS</v>
      </c>
      <c r="AV404" s="899">
        <f>IFERROR(INDEX(V404:AG404,1,MATCH(Parametres!$B$3,V$1:AG$1,0)-1)*IF(OR(C404="L",C404="S",C404="I"),-1,1),"")</f>
        <v>0</v>
      </c>
      <c r="AW404" s="899">
        <f t="shared" si="41"/>
        <v>0</v>
      </c>
      <c r="AX404" s="899">
        <f>INDEX(V404:AG404,1,MATCH(Parametres!$B$3,V$1:AG$1,0))*IF(OR(C404="L",C404="S",C404="I"),-1,1)</f>
        <v>0</v>
      </c>
      <c r="AY404" s="487" t="s">
        <v>337</v>
      </c>
      <c r="AZ404" s="487" t="e">
        <f>+VLOOKUP($AJ404,Data_Validation!$A:$E,5,0)</f>
        <v>#N/A</v>
      </c>
    </row>
    <row r="405" spans="1:52" ht="15.75" customHeight="1">
      <c r="A405" s="706" t="s">
        <v>1147</v>
      </c>
      <c r="B405" s="706">
        <v>2025</v>
      </c>
      <c r="C405" s="706" t="s">
        <v>1986</v>
      </c>
      <c r="D405" s="706" t="s">
        <v>1987</v>
      </c>
      <c r="E405" s="706" t="s">
        <v>1134</v>
      </c>
      <c r="F405" s="706" t="s">
        <v>1135</v>
      </c>
      <c r="G405" s="706">
        <v>0</v>
      </c>
      <c r="H405" s="706">
        <v>0</v>
      </c>
      <c r="I405" s="706">
        <v>0</v>
      </c>
      <c r="J405" s="706">
        <v>0</v>
      </c>
      <c r="K405" s="706">
        <v>0</v>
      </c>
      <c r="L405" s="706">
        <v>0</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G26310</v>
      </c>
      <c r="AK405" s="905" t="str">
        <f t="shared" si="37"/>
        <v>TRANSPORT-TELECON</v>
      </c>
      <c r="AL405" s="905">
        <f>IFERROR(INDEX(G405:R405,1,MATCH(Parametres!$B$3,G$1:R$1,0)-1)*IF(OR(F405="L",F405="S",F405="I"),-1,1),"")</f>
        <v>0</v>
      </c>
      <c r="AM405" s="905">
        <f t="shared" si="38"/>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t="str">
        <f t="shared" si="39"/>
        <v>G26310</v>
      </c>
      <c r="AU405" s="488" t="str">
        <f t="shared" si="40"/>
        <v>TRANSPORT-TELECON</v>
      </c>
      <c r="AV405" s="899">
        <f>IFERROR(INDEX(V405:AG405,1,MATCH(Parametres!$B$3,V$1:AG$1,0)-1)*IF(OR(C405="L",C405="S",C405="I"),-1,1),"")</f>
        <v>0</v>
      </c>
      <c r="AW405" s="899">
        <f t="shared" si="41"/>
        <v>0</v>
      </c>
      <c r="AX405" s="899">
        <f>INDEX(V405:AG405,1,MATCH(Parametres!$B$3,V$1:AG$1,0))*IF(OR(C405="L",C405="S",C405="I"),-1,1)</f>
        <v>0</v>
      </c>
      <c r="AY405" s="487" t="s">
        <v>337</v>
      </c>
      <c r="AZ405" s="487" t="e">
        <f>+VLOOKUP($AJ405,Data_Validation!$A:$E,5,0)</f>
        <v>#N/A</v>
      </c>
    </row>
    <row r="406" spans="1:52" ht="15.75" hidden="1" customHeight="1">
      <c r="A406" s="706" t="s">
        <v>1147</v>
      </c>
      <c r="B406" s="706">
        <v>2025</v>
      </c>
      <c r="C406" s="706" t="s">
        <v>1988</v>
      </c>
      <c r="D406" s="706" t="s">
        <v>1989</v>
      </c>
      <c r="E406" s="706" t="s">
        <v>333</v>
      </c>
      <c r="F406" s="706" t="s">
        <v>1135</v>
      </c>
      <c r="G406" s="706">
        <v>1343895.64</v>
      </c>
      <c r="H406" s="706">
        <v>982540.57</v>
      </c>
      <c r="I406" s="706">
        <v>1367885.49</v>
      </c>
      <c r="J406" s="706">
        <v>3000822.12</v>
      </c>
      <c r="K406" s="706">
        <v>1244163.44</v>
      </c>
      <c r="L406" s="706">
        <v>1244163.44</v>
      </c>
      <c r="M406" s="706">
        <v>-628712.93000000005</v>
      </c>
      <c r="N406" s="706">
        <v>-561661.64</v>
      </c>
      <c r="O406" s="706">
        <v>181871.69</v>
      </c>
      <c r="P406" s="706">
        <v>487628.27</v>
      </c>
      <c r="Q406" s="706">
        <v>759332.01</v>
      </c>
      <c r="R406" s="706">
        <v>625098.98</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G26500</v>
      </c>
      <c r="AK406" s="905" t="str">
        <f t="shared" si="37"/>
        <v>TPS TVH TVQ À RECEVOIR</v>
      </c>
      <c r="AL406" s="905">
        <f>IFERROR(INDEX(G406:R406,1,MATCH(Parametres!$B$3,G$1:R$1,0)-1)*IF(OR(F406="L",F406="S",F406="I"),-1,1),"")</f>
        <v>759332.01</v>
      </c>
      <c r="AM406" s="905">
        <f t="shared" si="38"/>
        <v>-134233.03000000003</v>
      </c>
      <c r="AN406" s="905">
        <f>INDEX(G406:R406,1,MATCH(Parametres!$B$3,G$1:R$1,0))*IF(OR(F406="L",F406="S",F406="I"),-1,1)</f>
        <v>625098.98</v>
      </c>
      <c r="AO406" s="487" t="str">
        <f>+VLOOKUP($AJ406,Data_Validation!$A:$D,1,0)</f>
        <v>G26500</v>
      </c>
      <c r="AP406" s="487" t="str">
        <f>+VLOOKUP($AJ406,Data_Validation!$A:$D,3,0)</f>
        <v>Bilan</v>
      </c>
      <c r="AQ406" s="487" t="str">
        <f>+VLOOKUP($AJ406,Data_Validation!$A:$D,4,0)</f>
        <v>Recevables Autres</v>
      </c>
      <c r="AR406" s="487" t="s">
        <v>299</v>
      </c>
      <c r="AS406" s="487">
        <f>+VLOOKUP($AJ406,Data_Validation!$A:$E,5,0)</f>
        <v>0</v>
      </c>
      <c r="AT406" s="904" t="str">
        <f t="shared" si="39"/>
        <v>G26500</v>
      </c>
      <c r="AU406" s="488" t="str">
        <f t="shared" si="40"/>
        <v>TPS TVH TVQ À RECEVOIR</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1147</v>
      </c>
      <c r="B407" s="706">
        <v>2025</v>
      </c>
      <c r="C407" s="706" t="s">
        <v>1990</v>
      </c>
      <c r="D407" s="706" t="s">
        <v>1991</v>
      </c>
      <c r="E407" s="706" t="s">
        <v>333</v>
      </c>
      <c r="F407" s="706" t="s">
        <v>1135</v>
      </c>
      <c r="G407" s="706">
        <v>-1763.04</v>
      </c>
      <c r="H407" s="706">
        <v>-6321.04</v>
      </c>
      <c r="I407" s="706">
        <v>-10879.04</v>
      </c>
      <c r="J407" s="706">
        <v>-15437.04</v>
      </c>
      <c r="K407" s="706">
        <v>-19995.04</v>
      </c>
      <c r="L407" s="706">
        <v>-24553.040000000001</v>
      </c>
      <c r="M407" s="706">
        <v>-52480.17</v>
      </c>
      <c r="N407" s="706">
        <v>-64718.17</v>
      </c>
      <c r="O407" s="706">
        <v>12531.8</v>
      </c>
      <c r="P407" s="706">
        <v>293.8</v>
      </c>
      <c r="Q407" s="706">
        <v>-11944.2</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G27000</v>
      </c>
      <c r="AK407" s="905" t="str">
        <f t="shared" si="37"/>
        <v>TAXES PAYEES D'AVANCE</v>
      </c>
      <c r="AL407" s="905">
        <f>IFERROR(INDEX(G407:R407,1,MATCH(Parametres!$B$3,G$1:R$1,0)-1)*IF(OR(F407="L",F407="S",F407="I"),-1,1),"")</f>
        <v>-11944.2</v>
      </c>
      <c r="AM407" s="905">
        <f t="shared" si="38"/>
        <v>11944.2</v>
      </c>
      <c r="AN407" s="905">
        <f>INDEX(G407:R407,1,MATCH(Parametres!$B$3,G$1:R$1,0))*IF(OR(F407="L",F407="S",F407="I"),-1,1)</f>
        <v>0</v>
      </c>
      <c r="AO407" s="487" t="str">
        <f>+VLOOKUP($AJ407,Data_Validation!$A:$D,1,0)</f>
        <v>G27000</v>
      </c>
      <c r="AP407" s="487" t="str">
        <f>+VLOOKUP($AJ407,Data_Validation!$A:$D,3,0)</f>
        <v>Bilan</v>
      </c>
      <c r="AQ407" s="487" t="str">
        <f>+VLOOKUP($AJ407,Data_Validation!$A:$D,4,0)</f>
        <v>Frais Payés d'Avance</v>
      </c>
      <c r="AR407" s="487" t="s">
        <v>299</v>
      </c>
      <c r="AS407" s="487">
        <f>+VLOOKUP($AJ407,Data_Validation!$A:$E,5,0)</f>
        <v>0</v>
      </c>
      <c r="AT407" s="904" t="str">
        <f t="shared" si="39"/>
        <v>G27000</v>
      </c>
      <c r="AU407" s="488" t="str">
        <f t="shared" si="40"/>
        <v>TAXES PAYEES D'AVANCE</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hidden="1" customHeight="1">
      <c r="A408" s="706" t="s">
        <v>1147</v>
      </c>
      <c r="B408" s="706">
        <v>2025</v>
      </c>
      <c r="C408" s="706" t="s">
        <v>1994</v>
      </c>
      <c r="D408" s="706" t="s">
        <v>1995</v>
      </c>
      <c r="E408" s="706" t="s">
        <v>333</v>
      </c>
      <c r="F408" s="706" t="s">
        <v>1135</v>
      </c>
      <c r="G408" s="706">
        <v>143809.62</v>
      </c>
      <c r="H408" s="706">
        <v>130736.01</v>
      </c>
      <c r="I408" s="706">
        <v>117662.39999999999</v>
      </c>
      <c r="J408" s="706">
        <v>104588.79</v>
      </c>
      <c r="K408" s="706">
        <v>91515.18</v>
      </c>
      <c r="L408" s="706">
        <v>78441.570000000007</v>
      </c>
      <c r="M408" s="706">
        <v>65367.96</v>
      </c>
      <c r="N408" s="706">
        <v>52294.35</v>
      </c>
      <c r="O408" s="706">
        <v>39220.74</v>
      </c>
      <c r="P408" s="706">
        <v>26147.13</v>
      </c>
      <c r="Q408" s="706">
        <v>13073.52</v>
      </c>
      <c r="R408" s="706">
        <v>80653.37</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G27100</v>
      </c>
      <c r="AK408" s="905" t="str">
        <f t="shared" si="37"/>
        <v>ASSURANCES PAYEES AVANCE</v>
      </c>
      <c r="AL408" s="905">
        <f>IFERROR(INDEX(G408:R408,1,MATCH(Parametres!$B$3,G$1:R$1,0)-1)*IF(OR(F408="L",F408="S",F408="I"),-1,1),"")</f>
        <v>13073.52</v>
      </c>
      <c r="AM408" s="905">
        <f t="shared" si="38"/>
        <v>67579.849999999991</v>
      </c>
      <c r="AN408" s="905">
        <f>INDEX(G408:R408,1,MATCH(Parametres!$B$3,G$1:R$1,0))*IF(OR(F408="L",F408="S",F408="I"),-1,1)</f>
        <v>80653.37</v>
      </c>
      <c r="AO408" s="487" t="str">
        <f>+VLOOKUP($AJ408,Data_Validation!$A:$D,1,0)</f>
        <v>G27100</v>
      </c>
      <c r="AP408" s="487" t="str">
        <f>+VLOOKUP($AJ408,Data_Validation!$A:$D,3,0)</f>
        <v>Bilan</v>
      </c>
      <c r="AQ408" s="487" t="str">
        <f>+VLOOKUP($AJ408,Data_Validation!$A:$D,4,0)</f>
        <v>Frais Payés d'Avance</v>
      </c>
      <c r="AR408" s="487" t="s">
        <v>299</v>
      </c>
      <c r="AS408" s="487">
        <f>+VLOOKUP($AJ408,Data_Validation!$A:$E,5,0)</f>
        <v>0</v>
      </c>
      <c r="AT408" s="904" t="str">
        <f t="shared" si="39"/>
        <v>G27100</v>
      </c>
      <c r="AU408" s="488" t="str">
        <f t="shared" si="40"/>
        <v>ASSURANCES PAYEES AVANCE</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hidden="1" customHeight="1">
      <c r="A409" s="706" t="s">
        <v>1147</v>
      </c>
      <c r="B409" s="706">
        <v>2025</v>
      </c>
      <c r="C409" s="706" t="s">
        <v>1996</v>
      </c>
      <c r="D409" s="706" t="s">
        <v>1997</v>
      </c>
      <c r="E409" s="706" t="s">
        <v>333</v>
      </c>
      <c r="F409" s="706" t="s">
        <v>1135</v>
      </c>
      <c r="G409" s="706">
        <v>106034.51</v>
      </c>
      <c r="H409" s="706">
        <v>138135.42000000001</v>
      </c>
      <c r="I409" s="706">
        <v>157113.04999999999</v>
      </c>
      <c r="J409" s="706">
        <v>224352.19</v>
      </c>
      <c r="K409" s="706">
        <v>237687.76</v>
      </c>
      <c r="L409" s="706">
        <v>2366353.46</v>
      </c>
      <c r="M409" s="706">
        <v>2399364.11</v>
      </c>
      <c r="N409" s="706">
        <v>2311862.33</v>
      </c>
      <c r="O409" s="706">
        <v>123082.24000000001</v>
      </c>
      <c r="P409" s="706">
        <v>157664.53</v>
      </c>
      <c r="Q409" s="706">
        <v>158352.14000000001</v>
      </c>
      <c r="R409" s="706">
        <v>201682.92</v>
      </c>
      <c r="S409" s="706">
        <v>0</v>
      </c>
      <c r="T409" s="706">
        <v>0</v>
      </c>
      <c r="U409" s="706">
        <v>-16500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G27400</v>
      </c>
      <c r="AK409" s="905" t="str">
        <f t="shared" si="37"/>
        <v>FRAIS PAYES AVANCE AUTRES</v>
      </c>
      <c r="AL409" s="905">
        <f>IFERROR(INDEX(G409:R409,1,MATCH(Parametres!$B$3,G$1:R$1,0)-1)*IF(OR(F409="L",F409="S",F409="I"),-1,1),"")</f>
        <v>158352.14000000001</v>
      </c>
      <c r="AM409" s="905">
        <f t="shared" si="38"/>
        <v>43330.78</v>
      </c>
      <c r="AN409" s="905">
        <f>INDEX(G409:R409,1,MATCH(Parametres!$B$3,G$1:R$1,0))*IF(OR(F409="L",F409="S",F409="I"),-1,1)</f>
        <v>201682.92</v>
      </c>
      <c r="AO409" s="487" t="str">
        <f>+VLOOKUP($AJ409,Data_Validation!$A:$D,1,0)</f>
        <v>G27400</v>
      </c>
      <c r="AP409" s="487" t="str">
        <f>+VLOOKUP($AJ409,Data_Validation!$A:$D,3,0)</f>
        <v>Bilan</v>
      </c>
      <c r="AQ409" s="487" t="str">
        <f>+VLOOKUP($AJ409,Data_Validation!$A:$D,4,0)</f>
        <v>Frais Payés d'Avance</v>
      </c>
      <c r="AR409" s="487" t="s">
        <v>299</v>
      </c>
      <c r="AS409" s="487">
        <f>+VLOOKUP($AJ409,Data_Validation!$A:$E,5,0)</f>
        <v>0</v>
      </c>
      <c r="AT409" s="904" t="str">
        <f t="shared" si="39"/>
        <v>G27400</v>
      </c>
      <c r="AU409" s="488" t="str">
        <f t="shared" si="40"/>
        <v>FRAIS PAYES AVANCE AUTRES</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customHeight="1">
      <c r="A410" s="706" t="s">
        <v>1147</v>
      </c>
      <c r="B410" s="706">
        <v>2025</v>
      </c>
      <c r="C410" s="706" t="s">
        <v>1998</v>
      </c>
      <c r="D410" s="706" t="s">
        <v>1999</v>
      </c>
      <c r="E410" s="706" t="s">
        <v>1141</v>
      </c>
      <c r="F410" s="706" t="s">
        <v>1135</v>
      </c>
      <c r="G410" s="706">
        <v>0</v>
      </c>
      <c r="H410" s="706">
        <v>0</v>
      </c>
      <c r="I410" s="706">
        <v>0</v>
      </c>
      <c r="J410" s="706">
        <v>0</v>
      </c>
      <c r="K410" s="706">
        <v>0</v>
      </c>
      <c r="L410" s="706">
        <v>0</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G27401</v>
      </c>
      <c r="AK410" s="905" t="str">
        <f t="shared" si="37"/>
        <v>DEPOT PAYÉ D'AVANCE</v>
      </c>
      <c r="AL410" s="905">
        <f>IFERROR(INDEX(G410:R410,1,MATCH(Parametres!$B$3,G$1:R$1,0)-1)*IF(OR(F410="L",F410="S",F410="I"),-1,1),"")</f>
        <v>0</v>
      </c>
      <c r="AM410" s="905">
        <f t="shared" si="38"/>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t="str">
        <f t="shared" si="39"/>
        <v>G27401</v>
      </c>
      <c r="AU410" s="488" t="str">
        <f t="shared" si="40"/>
        <v>DEPOT PAYÉ D'AVANCE</v>
      </c>
      <c r="AV410" s="899">
        <f>IFERROR(INDEX(V410:AG410,1,MATCH(Parametres!$B$3,V$1:AG$1,0)-1)*IF(OR(C410="L",C410="S",C410="I"),-1,1),"")</f>
        <v>0</v>
      </c>
      <c r="AW410" s="899">
        <f t="shared" si="41"/>
        <v>0</v>
      </c>
      <c r="AX410" s="899">
        <f>INDEX(V410:AG410,1,MATCH(Parametres!$B$3,V$1:AG$1,0))*IF(OR(C410="L",C410="S",C410="I"),-1,1)</f>
        <v>0</v>
      </c>
      <c r="AY410" s="487" t="s">
        <v>337</v>
      </c>
      <c r="AZ410" s="487" t="e">
        <f>+VLOOKUP($AJ410,Data_Validation!$A:$E,5,0)</f>
        <v>#N/A</v>
      </c>
    </row>
    <row r="411" spans="1:52" ht="15.75" hidden="1" customHeight="1">
      <c r="A411" s="706" t="s">
        <v>1147</v>
      </c>
      <c r="B411" s="706">
        <v>2025</v>
      </c>
      <c r="C411" s="706" t="s">
        <v>2010</v>
      </c>
      <c r="F411" s="706" t="s">
        <v>1135</v>
      </c>
      <c r="R411" s="706">
        <v>-4860</v>
      </c>
      <c r="U411" s="706">
        <v>-4860</v>
      </c>
      <c r="AJ411" s="905" t="str">
        <f t="shared" si="36"/>
        <v>G27440</v>
      </c>
      <c r="AK411" s="905">
        <f t="shared" si="37"/>
        <v>0</v>
      </c>
      <c r="AL411" s="905">
        <f>IFERROR(INDEX(G411:R411,1,MATCH(Parametres!$B$3,G$1:R$1,0)-1)*IF(OR(F411="L",F411="S",F411="I"),-1,1),"")</f>
        <v>0</v>
      </c>
      <c r="AM411" s="905">
        <f t="shared" si="38"/>
        <v>-4860</v>
      </c>
      <c r="AN411" s="905">
        <f>INDEX(G411:R411,1,MATCH(Parametres!$B$3,G$1:R$1,0))*IF(OR(F411="L",F411="S",F411="I"),-1,1)</f>
        <v>-4860</v>
      </c>
      <c r="AO411" s="487" t="str">
        <f>+VLOOKUP($AJ411,Data_Validation!$A:$D,1,0)</f>
        <v>G27440</v>
      </c>
      <c r="AP411" s="487" t="str">
        <f>+VLOOKUP($AJ411,Data_Validation!$A:$D,3,0)</f>
        <v>Bilan</v>
      </c>
      <c r="AQ411" s="487" t="str">
        <f>+VLOOKUP($AJ411,Data_Validation!$A:$D,4,0)</f>
        <v>Frais Payés d'Avance</v>
      </c>
      <c r="AR411" s="487" t="s">
        <v>299</v>
      </c>
      <c r="AS411" s="487">
        <f>+VLOOKUP($AJ411,Data_Validation!$A:$E,5,0)</f>
        <v>0</v>
      </c>
      <c r="AT411" s="904" t="str">
        <f t="shared" si="39"/>
        <v>G27440</v>
      </c>
      <c r="AU411" s="488">
        <f t="shared" si="40"/>
        <v>0</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customHeight="1">
      <c r="A412" s="706" t="s">
        <v>1147</v>
      </c>
      <c r="B412" s="706">
        <v>2025</v>
      </c>
      <c r="C412" s="706" t="s">
        <v>2012</v>
      </c>
      <c r="D412" s="706" t="s">
        <v>2013</v>
      </c>
      <c r="E412" s="706" t="s">
        <v>1142</v>
      </c>
      <c r="F412" s="706" t="s">
        <v>1135</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G27700</v>
      </c>
      <c r="AK412" s="905" t="str">
        <f t="shared" si="37"/>
        <v>INV VEHICULE EN LOCATION</v>
      </c>
      <c r="AL412" s="905">
        <f>IFERROR(INDEX(G412:R412,1,MATCH(Parametres!$B$3,G$1:R$1,0)-1)*IF(OR(F412="L",F412="S",F412="I"),-1,1),"")</f>
        <v>0</v>
      </c>
      <c r="AM412" s="905">
        <f t="shared" si="38"/>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t="str">
        <f t="shared" si="39"/>
        <v>G27700</v>
      </c>
      <c r="AU412" s="488" t="str">
        <f t="shared" si="40"/>
        <v>INV VEHICULE EN LOCATION</v>
      </c>
      <c r="AV412" s="899">
        <f>IFERROR(INDEX(V412:AG412,1,MATCH(Parametres!$B$3,V$1:AG$1,0)-1)*IF(OR(C412="L",C412="S",C412="I"),-1,1),"")</f>
        <v>0</v>
      </c>
      <c r="AW412" s="899">
        <f t="shared" si="41"/>
        <v>0</v>
      </c>
      <c r="AX412" s="899">
        <f>INDEX(V412:AG412,1,MATCH(Parametres!$B$3,V$1:AG$1,0))*IF(OR(C412="L",C412="S",C412="I"),-1,1)</f>
        <v>0</v>
      </c>
      <c r="AY412" s="487" t="s">
        <v>337</v>
      </c>
      <c r="AZ412" s="487" t="e">
        <f>+VLOOKUP($AJ412,Data_Validation!$A:$E,5,0)</f>
        <v>#N/A</v>
      </c>
    </row>
    <row r="413" spans="1:52" ht="15.75" customHeight="1">
      <c r="A413" s="706" t="s">
        <v>1147</v>
      </c>
      <c r="B413" s="706">
        <v>2025</v>
      </c>
      <c r="C413" s="706" t="s">
        <v>2014</v>
      </c>
      <c r="D413" s="706" t="s">
        <v>2015</v>
      </c>
      <c r="E413" s="706" t="s">
        <v>333</v>
      </c>
      <c r="F413" s="706" t="s">
        <v>1135</v>
      </c>
      <c r="G413" s="706">
        <v>0</v>
      </c>
      <c r="H413" s="706">
        <v>0</v>
      </c>
      <c r="I413" s="706">
        <v>0</v>
      </c>
      <c r="J413" s="706">
        <v>0</v>
      </c>
      <c r="K413" s="706">
        <v>0</v>
      </c>
      <c r="L413" s="706">
        <v>0</v>
      </c>
      <c r="M413" s="706">
        <v>0</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G27701</v>
      </c>
      <c r="AK413" s="905" t="str">
        <f t="shared" si="37"/>
        <v>AMORT. ACC. VEH. LOCATION</v>
      </c>
      <c r="AL413" s="905">
        <f>IFERROR(INDEX(G413:R413,1,MATCH(Parametres!$B$3,G$1:R$1,0)-1)*IF(OR(F413="L",F413="S",F413="I"),-1,1),"")</f>
        <v>0</v>
      </c>
      <c r="AM413" s="905">
        <f t="shared" si="38"/>
        <v>0</v>
      </c>
      <c r="AN413" s="905">
        <f>INDEX(G413:R413,1,MATCH(Parametres!$B$3,G$1:R$1,0))*IF(OR(F413="L",F413="S",F413="I"),-1,1)</f>
        <v>0</v>
      </c>
      <c r="AO413" s="487" t="str">
        <f>+VLOOKUP($AJ413,Data_Validation!$A:$D,1,0)</f>
        <v>G27701</v>
      </c>
      <c r="AP413" s="487">
        <f>+VLOOKUP($AJ413,Data_Validation!$A:$D,3,0)</f>
        <v>0</v>
      </c>
      <c r="AQ413" s="487">
        <f>+VLOOKUP($AJ413,Data_Validation!$A:$D,4,0)</f>
        <v>0</v>
      </c>
      <c r="AR413" s="487" t="s">
        <v>299</v>
      </c>
      <c r="AS413" s="487">
        <f>+VLOOKUP($AJ413,Data_Validation!$A:$E,5,0)</f>
        <v>0</v>
      </c>
      <c r="AT413" s="904" t="str">
        <f t="shared" si="39"/>
        <v>G27701</v>
      </c>
      <c r="AU413" s="488" t="str">
        <f t="shared" si="40"/>
        <v>AMORT. ACC. VEH. LOCATION</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1147</v>
      </c>
      <c r="B414" s="706">
        <v>2025</v>
      </c>
      <c r="C414" s="706" t="s">
        <v>2016</v>
      </c>
      <c r="D414" s="706" t="s">
        <v>2017</v>
      </c>
      <c r="E414" s="706" t="s">
        <v>333</v>
      </c>
      <c r="F414" s="706" t="s">
        <v>1135</v>
      </c>
      <c r="G414" s="706">
        <v>1640983.15</v>
      </c>
      <c r="H414" s="706">
        <v>1640983.15</v>
      </c>
      <c r="I414" s="706">
        <v>1648094.55</v>
      </c>
      <c r="J414" s="706">
        <v>1648094.55</v>
      </c>
      <c r="K414" s="706">
        <v>1648094.55</v>
      </c>
      <c r="L414" s="706">
        <v>1648094.55</v>
      </c>
      <c r="M414" s="706">
        <v>1650563.84</v>
      </c>
      <c r="N414" s="706">
        <v>1659359.27</v>
      </c>
      <c r="O414" s="706">
        <v>1710020.63</v>
      </c>
      <c r="P414" s="706">
        <v>1711452.58</v>
      </c>
      <c r="Q414" s="706">
        <v>1711020.58</v>
      </c>
      <c r="R414" s="706">
        <v>1711020.58</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G28200</v>
      </c>
      <c r="AK414" s="905" t="str">
        <f t="shared" si="37"/>
        <v>MACHINERIE EQUIP. ATELIER</v>
      </c>
      <c r="AL414" s="905">
        <f>IFERROR(INDEX(G414:R414,1,MATCH(Parametres!$B$3,G$1:R$1,0)-1)*IF(OR(F414="L",F414="S",F414="I"),-1,1),"")</f>
        <v>1711020.58</v>
      </c>
      <c r="AM414" s="905">
        <f t="shared" si="38"/>
        <v>0</v>
      </c>
      <c r="AN414" s="905">
        <f>INDEX(G414:R414,1,MATCH(Parametres!$B$3,G$1:R$1,0))*IF(OR(F414="L",F414="S",F414="I"),-1,1)</f>
        <v>1711020.58</v>
      </c>
      <c r="AO414" s="487" t="str">
        <f>+VLOOKUP($AJ414,Data_Validation!$A:$D,1,0)</f>
        <v>G28200</v>
      </c>
      <c r="AP414" s="487" t="str">
        <f>+VLOOKUP($AJ414,Data_Validation!$A:$D,3,0)</f>
        <v>Bilan</v>
      </c>
      <c r="AQ414" s="487" t="str">
        <f>+VLOOKUP($AJ414,Data_Validation!$A:$D,4,0)</f>
        <v>Équipements Service</v>
      </c>
      <c r="AR414" s="487" t="s">
        <v>299</v>
      </c>
      <c r="AS414" s="487">
        <f>+VLOOKUP($AJ414,Data_Validation!$A:$E,5,0)</f>
        <v>0</v>
      </c>
      <c r="AT414" s="904" t="str">
        <f t="shared" si="39"/>
        <v>G28200</v>
      </c>
      <c r="AU414" s="488" t="str">
        <f t="shared" si="40"/>
        <v>MACHINERIE EQUIP. ATELIER</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1147</v>
      </c>
      <c r="B415" s="706">
        <v>2025</v>
      </c>
      <c r="C415" s="706" t="s">
        <v>2020</v>
      </c>
      <c r="D415" s="706" t="s">
        <v>2021</v>
      </c>
      <c r="E415" s="706" t="s">
        <v>333</v>
      </c>
      <c r="F415" s="706" t="s">
        <v>1135</v>
      </c>
      <c r="G415" s="706">
        <v>8033.37</v>
      </c>
      <c r="H415" s="706">
        <v>8033.37</v>
      </c>
      <c r="I415" s="706">
        <v>8033.37</v>
      </c>
      <c r="J415" s="706">
        <v>8033.37</v>
      </c>
      <c r="K415" s="706">
        <v>8033.37</v>
      </c>
      <c r="L415" s="706">
        <v>8033.37</v>
      </c>
      <c r="M415" s="706">
        <v>8033.37</v>
      </c>
      <c r="N415" s="706">
        <v>8033.37</v>
      </c>
      <c r="O415" s="706">
        <v>8033.37</v>
      </c>
      <c r="P415" s="706">
        <v>8033.37</v>
      </c>
      <c r="Q415" s="706">
        <v>7077.33</v>
      </c>
      <c r="R415" s="706">
        <v>7077.33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G28300</v>
      </c>
      <c r="AK415" s="905" t="str">
        <f t="shared" si="37"/>
        <v>PNEUS ET ACC.DEMO/COURT</v>
      </c>
      <c r="AL415" s="905">
        <f>IFERROR(INDEX(G415:R415,1,MATCH(Parametres!$B$3,G$1:R$1,0)-1)*IF(OR(F415="L",F415="S",F415="I"),-1,1),"")</f>
        <v>7077.33</v>
      </c>
      <c r="AM415" s="905">
        <f t="shared" si="38"/>
        <v>0</v>
      </c>
      <c r="AN415" s="905">
        <f>INDEX(G415:R415,1,MATCH(Parametres!$B$3,G$1:R$1,0))*IF(OR(F415="L",F415="S",F415="I"),-1,1)</f>
        <v>7077.33</v>
      </c>
      <c r="AO415" s="487" t="str">
        <f>+VLOOKUP($AJ415,Data_Validation!$A:$D,1,0)</f>
        <v>G28300</v>
      </c>
      <c r="AP415" s="487" t="str">
        <f>+VLOOKUP($AJ415,Data_Validation!$A:$D,3,0)</f>
        <v>Bilan</v>
      </c>
      <c r="AQ415" s="487" t="str">
        <f>+VLOOKUP($AJ415,Data_Validation!$A:$D,4,0)</f>
        <v>Équipements Service</v>
      </c>
      <c r="AR415" s="487" t="s">
        <v>299</v>
      </c>
      <c r="AS415" s="487">
        <f>+VLOOKUP($AJ415,Data_Validation!$A:$E,5,0)</f>
        <v>0</v>
      </c>
      <c r="AT415" s="904" t="str">
        <f t="shared" si="39"/>
        <v>G28300</v>
      </c>
      <c r="AU415" s="488" t="str">
        <f t="shared" si="40"/>
        <v>PNEUS ET ACC.DEMO/COURT</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1147</v>
      </c>
      <c r="B416" s="706">
        <v>2025</v>
      </c>
      <c r="C416" s="706" t="s">
        <v>2022</v>
      </c>
      <c r="D416" s="706" t="s">
        <v>2023</v>
      </c>
      <c r="E416" s="706" t="s">
        <v>333</v>
      </c>
      <c r="F416" s="706" t="s">
        <v>1135</v>
      </c>
      <c r="G416" s="706">
        <v>354597.74</v>
      </c>
      <c r="H416" s="706">
        <v>357496.74</v>
      </c>
      <c r="I416" s="706">
        <v>357496.74</v>
      </c>
      <c r="J416" s="706">
        <v>357496.74</v>
      </c>
      <c r="K416" s="706">
        <v>357496.74</v>
      </c>
      <c r="L416" s="706">
        <v>357879.73</v>
      </c>
      <c r="M416" s="706">
        <v>359560.54</v>
      </c>
      <c r="N416" s="706">
        <v>359560.54</v>
      </c>
      <c r="O416" s="706">
        <v>367060.54</v>
      </c>
      <c r="P416" s="706">
        <v>366677.55</v>
      </c>
      <c r="Q416" s="706">
        <v>367878.04</v>
      </c>
      <c r="R416" s="706">
        <v>368778.01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G28400</v>
      </c>
      <c r="AK416" s="905" t="str">
        <f t="shared" si="37"/>
        <v>MOBILIER &amp; EQUIP BUREAU</v>
      </c>
      <c r="AL416" s="905">
        <f>IFERROR(INDEX(G416:R416,1,MATCH(Parametres!$B$3,G$1:R$1,0)-1)*IF(OR(F416="L",F416="S",F416="I"),-1,1),"")</f>
        <v>367878.04</v>
      </c>
      <c r="AM416" s="905">
        <f t="shared" si="38"/>
        <v>899.97000000003027</v>
      </c>
      <c r="AN416" s="905">
        <f>INDEX(G416:R416,1,MATCH(Parametres!$B$3,G$1:R$1,0))*IF(OR(F416="L",F416="S",F416="I"),-1,1)</f>
        <v>368778.01</v>
      </c>
      <c r="AO416" s="487" t="str">
        <f>+VLOOKUP($AJ416,Data_Validation!$A:$D,1,0)</f>
        <v>G28400</v>
      </c>
      <c r="AP416" s="487" t="str">
        <f>+VLOOKUP($AJ416,Data_Validation!$A:$D,3,0)</f>
        <v>Bilan</v>
      </c>
      <c r="AQ416" s="487" t="str">
        <f>+VLOOKUP($AJ416,Data_Validation!$A:$D,4,0)</f>
        <v>Mobilier</v>
      </c>
      <c r="AR416" s="487" t="s">
        <v>299</v>
      </c>
      <c r="AS416" s="487">
        <f>+VLOOKUP($AJ416,Data_Validation!$A:$E,5,0)</f>
        <v>0</v>
      </c>
      <c r="AT416" s="904" t="str">
        <f t="shared" si="39"/>
        <v>G28400</v>
      </c>
      <c r="AU416" s="488" t="str">
        <f t="shared" si="40"/>
        <v>MOBILIER &amp; EQUIP BUREAU</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1147</v>
      </c>
      <c r="B417" s="706">
        <v>2025</v>
      </c>
      <c r="C417" s="706" t="s">
        <v>2024</v>
      </c>
      <c r="D417" s="706" t="s">
        <v>2025</v>
      </c>
      <c r="E417" s="706" t="s">
        <v>333</v>
      </c>
      <c r="F417" s="706" t="s">
        <v>1135</v>
      </c>
      <c r="G417" s="706">
        <v>125277.95</v>
      </c>
      <c r="H417" s="706">
        <v>125277.95</v>
      </c>
      <c r="I417" s="706">
        <v>125277.95</v>
      </c>
      <c r="J417" s="706">
        <v>125277.95</v>
      </c>
      <c r="K417" s="706">
        <v>125277.95</v>
      </c>
      <c r="L417" s="706">
        <v>125277.95</v>
      </c>
      <c r="M417" s="706">
        <v>125277.95</v>
      </c>
      <c r="N417" s="706">
        <v>125277.95</v>
      </c>
      <c r="O417" s="706">
        <v>125277.95</v>
      </c>
      <c r="P417" s="706">
        <v>125277.95</v>
      </c>
      <c r="Q417" s="706">
        <v>125277.95</v>
      </c>
      <c r="R417" s="706">
        <v>125277.95</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G28500</v>
      </c>
      <c r="AK417" s="905" t="str">
        <f t="shared" si="37"/>
        <v>LIFT PIECES / TRACTEUR</v>
      </c>
      <c r="AL417" s="905">
        <f>IFERROR(INDEX(G417:R417,1,MATCH(Parametres!$B$3,G$1:R$1,0)-1)*IF(OR(F417="L",F417="S",F417="I"),-1,1),"")</f>
        <v>125277.95</v>
      </c>
      <c r="AM417" s="905">
        <f t="shared" si="38"/>
        <v>0</v>
      </c>
      <c r="AN417" s="905">
        <f>INDEX(G417:R417,1,MATCH(Parametres!$B$3,G$1:R$1,0))*IF(OR(F417="L",F417="S",F417="I"),-1,1)</f>
        <v>125277.95</v>
      </c>
      <c r="AO417" s="487" t="str">
        <f>+VLOOKUP($AJ417,Data_Validation!$A:$D,1,0)</f>
        <v>G28500</v>
      </c>
      <c r="AP417" s="487" t="str">
        <f>+VLOOKUP($AJ417,Data_Validation!$A:$D,3,0)</f>
        <v>Bilan</v>
      </c>
      <c r="AQ417" s="487" t="str">
        <f>+VLOOKUP($AJ417,Data_Validation!$A:$D,4,0)</f>
        <v>Équipements Service</v>
      </c>
      <c r="AR417" s="487" t="s">
        <v>299</v>
      </c>
      <c r="AS417" s="487">
        <f>+VLOOKUP($AJ417,Data_Validation!$A:$E,5,0)</f>
        <v>0</v>
      </c>
      <c r="AT417" s="904" t="str">
        <f t="shared" si="39"/>
        <v>G28500</v>
      </c>
      <c r="AU417" s="488" t="str">
        <f t="shared" si="40"/>
        <v>LIFT PIECES / TRACTEUR</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1147</v>
      </c>
      <c r="B418" s="706">
        <v>2025</v>
      </c>
      <c r="C418" s="706" t="s">
        <v>2026</v>
      </c>
      <c r="D418" s="706" t="s">
        <v>2027</v>
      </c>
      <c r="E418" s="706" t="s">
        <v>333</v>
      </c>
      <c r="F418" s="706" t="s">
        <v>1135</v>
      </c>
      <c r="G418" s="706">
        <v>202317.69</v>
      </c>
      <c r="H418" s="706">
        <v>219827.49</v>
      </c>
      <c r="I418" s="706">
        <v>231337.34</v>
      </c>
      <c r="J418" s="706">
        <v>231337.34</v>
      </c>
      <c r="K418" s="706">
        <v>231337.34</v>
      </c>
      <c r="L418" s="706">
        <v>207362.34</v>
      </c>
      <c r="M418" s="706">
        <v>207362.34</v>
      </c>
      <c r="N418" s="706">
        <v>207362.34</v>
      </c>
      <c r="O418" s="706">
        <v>207362.34</v>
      </c>
      <c r="P418" s="706">
        <v>207362.34</v>
      </c>
      <c r="Q418" s="706">
        <v>207362.34</v>
      </c>
      <c r="R418" s="706">
        <v>207362.34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G28600</v>
      </c>
      <c r="AK418" s="905" t="str">
        <f t="shared" si="37"/>
        <v>BATIMENT</v>
      </c>
      <c r="AL418" s="905">
        <f>IFERROR(INDEX(G418:R418,1,MATCH(Parametres!$B$3,G$1:R$1,0)-1)*IF(OR(F418="L",F418="S",F418="I"),-1,1),"")</f>
        <v>207362.34</v>
      </c>
      <c r="AM418" s="905">
        <f t="shared" si="38"/>
        <v>0</v>
      </c>
      <c r="AN418" s="905">
        <f>INDEX(G418:R418,1,MATCH(Parametres!$B$3,G$1:R$1,0))*IF(OR(F418="L",F418="S",F418="I"),-1,1)</f>
        <v>207362.34</v>
      </c>
      <c r="AO418" s="487" t="str">
        <f>+VLOOKUP($AJ418,Data_Validation!$A:$D,1,0)</f>
        <v>G28600</v>
      </c>
      <c r="AP418" s="487" t="str">
        <f>+VLOOKUP($AJ418,Data_Validation!$A:$D,3,0)</f>
        <v>Bilan</v>
      </c>
      <c r="AQ418" s="487" t="str">
        <f>+VLOOKUP($AJ418,Data_Validation!$A:$D,4,0)</f>
        <v>Améliorations Locatives</v>
      </c>
      <c r="AR418" s="487" t="s">
        <v>299</v>
      </c>
      <c r="AS418" s="487">
        <f>+VLOOKUP($AJ418,Data_Validation!$A:$E,5,0)</f>
        <v>0</v>
      </c>
      <c r="AT418" s="904" t="str">
        <f t="shared" si="39"/>
        <v>G28600</v>
      </c>
      <c r="AU418" s="488" t="str">
        <f t="shared" si="40"/>
        <v>BATIMENT</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1147</v>
      </c>
      <c r="B419" s="706">
        <v>2025</v>
      </c>
      <c r="C419" s="706" t="s">
        <v>2028</v>
      </c>
      <c r="D419" s="706" t="s">
        <v>2029</v>
      </c>
      <c r="E419" s="706" t="s">
        <v>333</v>
      </c>
      <c r="F419" s="706" t="s">
        <v>1135</v>
      </c>
      <c r="G419" s="706">
        <v>208058.15</v>
      </c>
      <c r="H419" s="706">
        <v>209023.15</v>
      </c>
      <c r="I419" s="706">
        <v>231518.15</v>
      </c>
      <c r="J419" s="706">
        <v>231551.55</v>
      </c>
      <c r="K419" s="706">
        <v>253962.99</v>
      </c>
      <c r="L419" s="706">
        <v>253962.99</v>
      </c>
      <c r="M419" s="706">
        <v>253962.99</v>
      </c>
      <c r="N419" s="706">
        <v>253962.99</v>
      </c>
      <c r="O419" s="706">
        <v>256011.99</v>
      </c>
      <c r="P419" s="706">
        <v>257412.1</v>
      </c>
      <c r="Q419" s="706">
        <v>264203.43</v>
      </c>
      <c r="R419" s="706">
        <v>264203.43</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G28700</v>
      </c>
      <c r="AK419" s="905" t="str">
        <f t="shared" si="37"/>
        <v>MATERIEL INFORMATIQUE</v>
      </c>
      <c r="AL419" s="905">
        <f>IFERROR(INDEX(G419:R419,1,MATCH(Parametres!$B$3,G$1:R$1,0)-1)*IF(OR(F419="L",F419="S",F419="I"),-1,1),"")</f>
        <v>264203.43</v>
      </c>
      <c r="AM419" s="905">
        <f t="shared" si="38"/>
        <v>0</v>
      </c>
      <c r="AN419" s="905">
        <f>INDEX(G419:R419,1,MATCH(Parametres!$B$3,G$1:R$1,0))*IF(OR(F419="L",F419="S",F419="I"),-1,1)</f>
        <v>264203.43</v>
      </c>
      <c r="AO419" s="487" t="str">
        <f>+VLOOKUP($AJ419,Data_Validation!$A:$D,1,0)</f>
        <v>G28700</v>
      </c>
      <c r="AP419" s="487" t="str">
        <f>+VLOOKUP($AJ419,Data_Validation!$A:$D,3,0)</f>
        <v>Bilan</v>
      </c>
      <c r="AQ419" s="487" t="str">
        <f>+VLOOKUP($AJ419,Data_Validation!$A:$D,4,0)</f>
        <v>Équipements Informatique</v>
      </c>
      <c r="AR419" s="487" t="s">
        <v>299</v>
      </c>
      <c r="AS419" s="487">
        <f>+VLOOKUP($AJ419,Data_Validation!$A:$E,5,0)</f>
        <v>0</v>
      </c>
      <c r="AT419" s="904" t="str">
        <f t="shared" si="39"/>
        <v>G28700</v>
      </c>
      <c r="AU419" s="488" t="str">
        <f t="shared" si="40"/>
        <v>MATERIEL INFORMATIQUE</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1147</v>
      </c>
      <c r="B420" s="706">
        <v>2025</v>
      </c>
      <c r="C420" s="706" t="s">
        <v>2030</v>
      </c>
      <c r="D420" s="706" t="s">
        <v>647</v>
      </c>
      <c r="E420" s="706" t="s">
        <v>333</v>
      </c>
      <c r="F420" s="706" t="s">
        <v>1135</v>
      </c>
      <c r="G420" s="706">
        <v>55976.71</v>
      </c>
      <c r="H420" s="706">
        <v>55976.71</v>
      </c>
      <c r="I420" s="706">
        <v>55976.71</v>
      </c>
      <c r="J420" s="706">
        <v>55976.71</v>
      </c>
      <c r="K420" s="706">
        <v>55976.71</v>
      </c>
      <c r="L420" s="706">
        <v>55976.71</v>
      </c>
      <c r="M420" s="706">
        <v>55976.71</v>
      </c>
      <c r="N420" s="706">
        <v>55976.71</v>
      </c>
      <c r="O420" s="706">
        <v>55976.71</v>
      </c>
      <c r="P420" s="706">
        <v>55976.71</v>
      </c>
      <c r="Q420" s="706">
        <v>55976.71</v>
      </c>
      <c r="R420" s="706">
        <v>55976.71</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G28800</v>
      </c>
      <c r="AK420" s="905" t="str">
        <f t="shared" si="37"/>
        <v>ENSEIGNES</v>
      </c>
      <c r="AL420" s="905">
        <f>IFERROR(INDEX(G420:R420,1,MATCH(Parametres!$B$3,G$1:R$1,0)-1)*IF(OR(F420="L",F420="S",F420="I"),-1,1),"")</f>
        <v>55976.71</v>
      </c>
      <c r="AM420" s="905">
        <f t="shared" si="38"/>
        <v>0</v>
      </c>
      <c r="AN420" s="905">
        <f>INDEX(G420:R420,1,MATCH(Parametres!$B$3,G$1:R$1,0))*IF(OR(F420="L",F420="S",F420="I"),-1,1)</f>
        <v>55976.71</v>
      </c>
      <c r="AO420" s="487" t="str">
        <f>+VLOOKUP($AJ420,Data_Validation!$A:$D,1,0)</f>
        <v>G28800</v>
      </c>
      <c r="AP420" s="487" t="str">
        <f>+VLOOKUP($AJ420,Data_Validation!$A:$D,3,0)</f>
        <v>Bilan</v>
      </c>
      <c r="AQ420" s="487" t="str">
        <f>+VLOOKUP($AJ420,Data_Validation!$A:$D,4,0)</f>
        <v>Enseigne</v>
      </c>
      <c r="AR420" s="487" t="s">
        <v>299</v>
      </c>
      <c r="AS420" s="487">
        <f>+VLOOKUP($AJ420,Data_Validation!$A:$E,5,0)</f>
        <v>0</v>
      </c>
      <c r="AT420" s="904" t="str">
        <f t="shared" si="39"/>
        <v>G28800</v>
      </c>
      <c r="AU420" s="488" t="str">
        <f t="shared" si="40"/>
        <v>ENSEIGNES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customHeight="1">
      <c r="A421" s="706" t="s">
        <v>1147</v>
      </c>
      <c r="B421" s="706">
        <v>2025</v>
      </c>
      <c r="C421" s="706" t="s">
        <v>2031</v>
      </c>
      <c r="D421" s="706" t="s">
        <v>2032</v>
      </c>
      <c r="E421" s="706" t="s">
        <v>333</v>
      </c>
      <c r="F421" s="706" t="s">
        <v>1135</v>
      </c>
      <c r="G421" s="706">
        <v>0</v>
      </c>
      <c r="H421" s="706">
        <v>0</v>
      </c>
      <c r="I421" s="706">
        <v>0</v>
      </c>
      <c r="J421" s="706">
        <v>0</v>
      </c>
      <c r="K421" s="706">
        <v>0</v>
      </c>
      <c r="L421" s="706">
        <v>0</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G28900</v>
      </c>
      <c r="AK421" s="905" t="str">
        <f t="shared" si="37"/>
        <v>ASPHALTE</v>
      </c>
      <c r="AL421" s="905">
        <f>IFERROR(INDEX(G421:R421,1,MATCH(Parametres!$B$3,G$1:R$1,0)-1)*IF(OR(F421="L",F421="S",F421="I"),-1,1),"")</f>
        <v>0</v>
      </c>
      <c r="AM421" s="905">
        <f t="shared" si="38"/>
        <v>0</v>
      </c>
      <c r="AN421" s="905">
        <f>INDEX(G421:R421,1,MATCH(Parametres!$B$3,G$1:R$1,0))*IF(OR(F421="L",F421="S",F421="I"),-1,1)</f>
        <v>0</v>
      </c>
      <c r="AO421" s="487" t="str">
        <f>+VLOOKUP($AJ421,Data_Validation!$A:$D,1,0)</f>
        <v>G28900</v>
      </c>
      <c r="AP421" s="487">
        <f>+VLOOKUP($AJ421,Data_Validation!$A:$D,3,0)</f>
        <v>0</v>
      </c>
      <c r="AQ421" s="487">
        <f>+VLOOKUP($AJ421,Data_Validation!$A:$D,4,0)</f>
        <v>0</v>
      </c>
      <c r="AR421" s="487" t="s">
        <v>299</v>
      </c>
      <c r="AS421" s="487">
        <f>+VLOOKUP($AJ421,Data_Validation!$A:$E,5,0)</f>
        <v>0</v>
      </c>
      <c r="AT421" s="904" t="str">
        <f t="shared" si="39"/>
        <v>G28900</v>
      </c>
      <c r="AU421" s="488" t="str">
        <f t="shared" si="40"/>
        <v>ASPHALTE</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1147</v>
      </c>
      <c r="B422" s="706">
        <v>2025</v>
      </c>
      <c r="C422" s="706" t="s">
        <v>2033</v>
      </c>
      <c r="D422" s="706" t="s">
        <v>2034</v>
      </c>
      <c r="E422" s="706" t="s">
        <v>333</v>
      </c>
      <c r="F422" s="706" t="s">
        <v>1135</v>
      </c>
      <c r="G422" s="706">
        <v>1419</v>
      </c>
      <c r="H422" s="706">
        <v>12974</v>
      </c>
      <c r="I422" s="706">
        <v>12974</v>
      </c>
      <c r="J422" s="706">
        <v>12974</v>
      </c>
      <c r="K422" s="706">
        <v>12974</v>
      </c>
      <c r="L422" s="706">
        <v>12974</v>
      </c>
      <c r="M422" s="706">
        <v>12974</v>
      </c>
      <c r="N422" s="706">
        <v>12974</v>
      </c>
      <c r="O422" s="706">
        <v>12974</v>
      </c>
      <c r="P422" s="706">
        <v>12974</v>
      </c>
      <c r="Q422" s="706">
        <v>12974</v>
      </c>
      <c r="R422" s="706">
        <v>12974</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G29300</v>
      </c>
      <c r="AK422" s="905" t="str">
        <f t="shared" si="37"/>
        <v>BILLETS &amp; C/R ADMINIS.</v>
      </c>
      <c r="AL422" s="905">
        <f>IFERROR(INDEX(G422:R422,1,MATCH(Parametres!$B$3,G$1:R$1,0)-1)*IF(OR(F422="L",F422="S",F422="I"),-1,1),"")</f>
        <v>12974</v>
      </c>
      <c r="AM422" s="905">
        <f t="shared" si="38"/>
        <v>0</v>
      </c>
      <c r="AN422" s="905">
        <f>INDEX(G422:R422,1,MATCH(Parametres!$B$3,G$1:R$1,0))*IF(OR(F422="L",F422="S",F422="I"),-1,1)</f>
        <v>12974</v>
      </c>
      <c r="AO422" s="487" t="str">
        <f>+VLOOKUP($AJ422,Data_Validation!$A:$D,1,0)</f>
        <v>G29300</v>
      </c>
      <c r="AP422" s="487" t="str">
        <f>+VLOOKUP($AJ422,Data_Validation!$A:$D,3,0)</f>
        <v>Bilan</v>
      </c>
      <c r="AQ422" s="487" t="str">
        <f>+VLOOKUP($AJ422,Data_Validation!$A:$D,4,0)</f>
        <v>Avances à Recevoir Long Terme</v>
      </c>
      <c r="AR422" s="487" t="s">
        <v>299</v>
      </c>
      <c r="AS422" s="487">
        <f>+VLOOKUP($AJ422,Data_Validation!$A:$E,5,0)</f>
        <v>0</v>
      </c>
      <c r="AT422" s="904" t="str">
        <f t="shared" si="39"/>
        <v>G29300</v>
      </c>
      <c r="AU422" s="488" t="str">
        <f t="shared" si="40"/>
        <v>BILLETS &amp; C/R ADMINIS.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1147</v>
      </c>
      <c r="B423" s="706">
        <v>2025</v>
      </c>
      <c r="C423" s="706" t="s">
        <v>2035</v>
      </c>
      <c r="D423" s="706" t="s">
        <v>2036</v>
      </c>
      <c r="E423" s="706" t="s">
        <v>333</v>
      </c>
      <c r="F423" s="706" t="s">
        <v>1135</v>
      </c>
      <c r="G423" s="706">
        <v>0</v>
      </c>
      <c r="H423" s="706">
        <v>0</v>
      </c>
      <c r="I423" s="706">
        <v>4000000</v>
      </c>
      <c r="J423" s="706">
        <v>6000000</v>
      </c>
      <c r="K423" s="706">
        <v>9500000</v>
      </c>
      <c r="L423" s="706">
        <v>10500000</v>
      </c>
      <c r="M423" s="706">
        <v>12500000</v>
      </c>
      <c r="N423" s="706">
        <v>11000000</v>
      </c>
      <c r="O423" s="706">
        <v>9000000</v>
      </c>
      <c r="P423" s="706">
        <v>3500000</v>
      </c>
      <c r="Q423" s="706">
        <v>3000000</v>
      </c>
      <c r="R423" s="706">
        <v>2000000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G29400</v>
      </c>
      <c r="AK423" s="905" t="str">
        <f t="shared" si="37"/>
        <v>EPARGNE BULK</v>
      </c>
      <c r="AL423" s="905">
        <f>IFERROR(INDEX(G423:R423,1,MATCH(Parametres!$B$3,G$1:R$1,0)-1)*IF(OR(F423="L",F423="S",F423="I"),-1,1),"")</f>
        <v>3000000</v>
      </c>
      <c r="AM423" s="905">
        <f t="shared" si="38"/>
        <v>-1000000</v>
      </c>
      <c r="AN423" s="905">
        <f>INDEX(G423:R423,1,MATCH(Parametres!$B$3,G$1:R$1,0))*IF(OR(F423="L",F423="S",F423="I"),-1,1)</f>
        <v>2000000</v>
      </c>
      <c r="AO423" s="487" t="str">
        <f>+VLOOKUP($AJ423,Data_Validation!$A:$D,1,0)</f>
        <v>G29400</v>
      </c>
      <c r="AP423" s="487" t="str">
        <f>+VLOOKUP($AJ423,Data_Validation!$A:$D,3,0)</f>
        <v>Bilan</v>
      </c>
      <c r="AQ423" s="487" t="str">
        <f>+VLOOKUP($AJ423,Data_Validation!$A:$D,4,0)</f>
        <v>Encaisse</v>
      </c>
      <c r="AR423" s="487" t="s">
        <v>299</v>
      </c>
      <c r="AS423" s="487">
        <f>+VLOOKUP($AJ423,Data_Validation!$A:$E,5,0)</f>
        <v>0</v>
      </c>
      <c r="AT423" s="904" t="str">
        <f t="shared" si="39"/>
        <v>G29400</v>
      </c>
      <c r="AU423" s="488" t="str">
        <f t="shared" si="40"/>
        <v>EPARGNE BULK</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hidden="1" customHeight="1">
      <c r="A424" s="706" t="s">
        <v>1147</v>
      </c>
      <c r="B424" s="706">
        <v>2025</v>
      </c>
      <c r="C424" s="706" t="s">
        <v>2037</v>
      </c>
      <c r="D424" s="706" t="s">
        <v>2038</v>
      </c>
      <c r="E424" s="706" t="s">
        <v>333</v>
      </c>
      <c r="F424" s="706" t="s">
        <v>1135</v>
      </c>
      <c r="G424" s="706">
        <v>2000</v>
      </c>
      <c r="H424" s="706">
        <v>2000</v>
      </c>
      <c r="I424" s="706">
        <v>2000</v>
      </c>
      <c r="J424" s="706">
        <v>2000</v>
      </c>
      <c r="K424" s="706">
        <v>2000</v>
      </c>
      <c r="L424" s="706">
        <v>2000</v>
      </c>
      <c r="M424" s="706">
        <v>2000</v>
      </c>
      <c r="N424" s="706">
        <v>2000</v>
      </c>
      <c r="O424" s="706">
        <v>2000</v>
      </c>
      <c r="P424" s="706">
        <v>2000</v>
      </c>
      <c r="Q424" s="706">
        <v>2000</v>
      </c>
      <c r="R424" s="706">
        <v>2000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G29600</v>
      </c>
      <c r="AK424" s="905" t="str">
        <f t="shared" si="37"/>
        <v>AUTRES PLACEMENTS &amp; BIENS</v>
      </c>
      <c r="AL424" s="905">
        <f>IFERROR(INDEX(G424:R424,1,MATCH(Parametres!$B$3,G$1:R$1,0)-1)*IF(OR(F424="L",F424="S",F424="I"),-1,1),"")</f>
        <v>2000</v>
      </c>
      <c r="AM424" s="905">
        <f t="shared" si="38"/>
        <v>0</v>
      </c>
      <c r="AN424" s="905">
        <f>INDEX(G424:R424,1,MATCH(Parametres!$B$3,G$1:R$1,0))*IF(OR(F424="L",F424="S",F424="I"),-1,1)</f>
        <v>2000</v>
      </c>
      <c r="AO424" s="487" t="str">
        <f>+VLOOKUP($AJ424,Data_Validation!$A:$D,1,0)</f>
        <v>G29600</v>
      </c>
      <c r="AP424" s="487" t="str">
        <f>+VLOOKUP($AJ424,Data_Validation!$A:$D,3,0)</f>
        <v>Bilan</v>
      </c>
      <c r="AQ424" s="487" t="str">
        <f>+VLOOKUP($AJ424,Data_Validation!$A:$D,4,0)</f>
        <v>Avances à Recevoir Long Terme</v>
      </c>
      <c r="AR424" s="487" t="s">
        <v>299</v>
      </c>
      <c r="AS424" s="487">
        <f>+VLOOKUP($AJ424,Data_Validation!$A:$E,5,0)</f>
        <v>0</v>
      </c>
      <c r="AT424" s="904" t="str">
        <f t="shared" si="39"/>
        <v>G29600</v>
      </c>
      <c r="AU424" s="488" t="str">
        <f t="shared" si="40"/>
        <v>AUTRES PLACEMENTS &amp; BIENS</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1147</v>
      </c>
      <c r="B425" s="706">
        <v>2025</v>
      </c>
      <c r="C425" s="706" t="s">
        <v>2039</v>
      </c>
      <c r="D425" s="706" t="s">
        <v>2040</v>
      </c>
      <c r="E425" s="706" t="s">
        <v>333</v>
      </c>
      <c r="F425" s="706" t="s">
        <v>1135</v>
      </c>
      <c r="G425" s="706">
        <v>0</v>
      </c>
      <c r="H425" s="706">
        <v>0</v>
      </c>
      <c r="I425" s="706">
        <v>0</v>
      </c>
      <c r="J425" s="706">
        <v>0</v>
      </c>
      <c r="K425" s="706">
        <v>0</v>
      </c>
      <c r="L425" s="706">
        <v>0</v>
      </c>
      <c r="M425" s="706">
        <v>0</v>
      </c>
      <c r="N425" s="706">
        <v>0</v>
      </c>
      <c r="O425" s="706">
        <v>0</v>
      </c>
      <c r="P425" s="706">
        <v>0</v>
      </c>
      <c r="Q425" s="706">
        <v>0.14000000000000001</v>
      </c>
      <c r="R425" s="706">
        <v>-66.849999999999994</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G29900</v>
      </c>
      <c r="AK425" s="905" t="str">
        <f t="shared" si="37"/>
        <v>INTER-DIVISION</v>
      </c>
      <c r="AL425" s="905">
        <f>IFERROR(INDEX(G425:R425,1,MATCH(Parametres!$B$3,G$1:R$1,0)-1)*IF(OR(F425="L",F425="S",F425="I"),-1,1),"")</f>
        <v>0.14000000000000001</v>
      </c>
      <c r="AM425" s="905">
        <f t="shared" si="38"/>
        <v>-66.989999999999995</v>
      </c>
      <c r="AN425" s="905">
        <f>INDEX(G425:R425,1,MATCH(Parametres!$B$3,G$1:R$1,0))*IF(OR(F425="L",F425="S",F425="I"),-1,1)</f>
        <v>-66.849999999999994</v>
      </c>
      <c r="AO425" s="487" t="str">
        <f>+VLOOKUP($AJ425,Data_Validation!$A:$D,1,0)</f>
        <v>G29900</v>
      </c>
      <c r="AP425" s="487" t="str">
        <f>+VLOOKUP($AJ425,Data_Validation!$A:$D,3,0)</f>
        <v>Bilan</v>
      </c>
      <c r="AQ425" s="487" t="str">
        <f>+VLOOKUP($AJ425,Data_Validation!$A:$D,4,0)</f>
        <v>Avances à Recevoir Long Terme</v>
      </c>
      <c r="AR425" s="487" t="s">
        <v>299</v>
      </c>
      <c r="AS425" s="487">
        <f>+VLOOKUP($AJ425,Data_Validation!$A:$E,5,0)</f>
        <v>0</v>
      </c>
      <c r="AT425" s="904" t="str">
        <f t="shared" si="39"/>
        <v>G29900</v>
      </c>
      <c r="AU425" s="488" t="str">
        <f t="shared" si="40"/>
        <v>INTER-DIVISION</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1147</v>
      </c>
      <c r="B426" s="706">
        <v>2025</v>
      </c>
      <c r="C426" s="706" t="s">
        <v>2041</v>
      </c>
      <c r="D426" s="706" t="s">
        <v>2042</v>
      </c>
      <c r="E426" s="706" t="s">
        <v>1145</v>
      </c>
      <c r="F426" s="706" t="s">
        <v>1134</v>
      </c>
      <c r="G426" s="706">
        <v>2795571.24</v>
      </c>
      <c r="H426" s="706">
        <v>312151.88</v>
      </c>
      <c r="I426" s="706">
        <v>2086905.95</v>
      </c>
      <c r="J426" s="706">
        <v>1907573.05</v>
      </c>
      <c r="K426" s="706">
        <v>1429956.42</v>
      </c>
      <c r="L426" s="706">
        <v>517114.57</v>
      </c>
      <c r="M426" s="706">
        <v>81013.100000000006</v>
      </c>
      <c r="N426" s="706">
        <v>778397.84</v>
      </c>
      <c r="O426" s="706">
        <v>2243390.58</v>
      </c>
      <c r="P426" s="706">
        <v>1804392.48</v>
      </c>
      <c r="Q426" s="706">
        <v>3886414.52</v>
      </c>
      <c r="R426" s="706">
        <v>5711191.1799999997</v>
      </c>
      <c r="S426" s="706">
        <v>0</v>
      </c>
      <c r="T426" s="706">
        <v>0</v>
      </c>
      <c r="U426" s="706">
        <v>68800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G30000</v>
      </c>
      <c r="AK426" s="905" t="str">
        <f t="shared" si="37"/>
        <v>C/P FOURNISSEURS</v>
      </c>
      <c r="AL426" s="905">
        <f>IFERROR(INDEX(G426:R426,1,MATCH(Parametres!$B$3,G$1:R$1,0)-1)*IF(OR(F426="L",F426="S",F426="I"),-1,1),"")</f>
        <v>-3886414.52</v>
      </c>
      <c r="AM426" s="905">
        <f t="shared" si="38"/>
        <v>-1824776.6599999997</v>
      </c>
      <c r="AN426" s="905">
        <f>INDEX(G426:R426,1,MATCH(Parametres!$B$3,G$1:R$1,0))*IF(OR(F426="L",F426="S",F426="I"),-1,1)</f>
        <v>-5711191.1799999997</v>
      </c>
      <c r="AO426" s="487" t="str">
        <f>+VLOOKUP($AJ426,Data_Validation!$A:$D,1,0)</f>
        <v>G30000</v>
      </c>
      <c r="AP426" s="487" t="str">
        <f>+VLOOKUP($AJ426,Data_Validation!$A:$D,3,0)</f>
        <v>Bilan</v>
      </c>
      <c r="AQ426" s="487" t="str">
        <f>+VLOOKUP($AJ426,Data_Validation!$A:$D,4,0)</f>
        <v>Comptes à Payer Fournisseurs</v>
      </c>
      <c r="AR426" s="487" t="s">
        <v>299</v>
      </c>
      <c r="AS426" s="487">
        <f>+VLOOKUP($AJ426,Data_Validation!$A:$E,5,0)</f>
        <v>0</v>
      </c>
      <c r="AT426" s="904" t="str">
        <f t="shared" si="39"/>
        <v>G30000</v>
      </c>
      <c r="AU426" s="488" t="str">
        <f t="shared" si="40"/>
        <v>C/P FOURNISSEURS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customHeight="1">
      <c r="A427" s="706" t="s">
        <v>1147</v>
      </c>
      <c r="B427" s="706">
        <v>2025</v>
      </c>
      <c r="C427" s="706" t="s">
        <v>2043</v>
      </c>
      <c r="D427" s="706" t="s">
        <v>2044</v>
      </c>
      <c r="E427" s="706" t="s">
        <v>1145</v>
      </c>
      <c r="F427" s="706" t="s">
        <v>1134</v>
      </c>
      <c r="G427" s="706">
        <v>0</v>
      </c>
      <c r="H427" s="706">
        <v>0</v>
      </c>
      <c r="I427" s="706">
        <v>0</v>
      </c>
      <c r="J427" s="706">
        <v>0</v>
      </c>
      <c r="K427" s="706">
        <v>0</v>
      </c>
      <c r="L427" s="706">
        <v>0</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G30001</v>
      </c>
      <c r="AK427" s="905" t="str">
        <f t="shared" si="37"/>
        <v>COMPTES A PAYER OPEN-ITEM</v>
      </c>
      <c r="AL427" s="905">
        <f>IFERROR(INDEX(G427:R427,1,MATCH(Parametres!$B$3,G$1:R$1,0)-1)*IF(OR(F427="L",F427="S",F427="I"),-1,1),"")</f>
        <v>0</v>
      </c>
      <c r="AM427" s="905">
        <f t="shared" si="38"/>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t="str">
        <f t="shared" si="39"/>
        <v>G30001</v>
      </c>
      <c r="AU427" s="488" t="str">
        <f t="shared" si="40"/>
        <v>COMPTES A PAYER OPEN-ITEM</v>
      </c>
      <c r="AV427" s="899">
        <f>IFERROR(INDEX(V427:AG427,1,MATCH(Parametres!$B$3,V$1:AG$1,0)-1)*IF(OR(C427="L",C427="S",C427="I"),-1,1),"")</f>
        <v>0</v>
      </c>
      <c r="AW427" s="899">
        <f t="shared" si="41"/>
        <v>0</v>
      </c>
      <c r="AX427" s="899">
        <f>INDEX(V427:AG427,1,MATCH(Parametres!$B$3,V$1:AG$1,0))*IF(OR(C427="L",C427="S",C427="I"),-1,1)</f>
        <v>0</v>
      </c>
      <c r="AY427" s="487" t="s">
        <v>337</v>
      </c>
      <c r="AZ427" s="487" t="e">
        <f>+VLOOKUP($AJ427,Data_Validation!$A:$E,5,0)</f>
        <v>#N/A</v>
      </c>
    </row>
    <row r="428" spans="1:52" ht="15.75" hidden="1" customHeight="1">
      <c r="A428" s="706" t="s">
        <v>1147</v>
      </c>
      <c r="B428" s="706">
        <v>2025</v>
      </c>
      <c r="C428" s="706" t="s">
        <v>2045</v>
      </c>
      <c r="D428" s="706" t="s">
        <v>2046</v>
      </c>
      <c r="E428" s="706" t="s">
        <v>1138</v>
      </c>
      <c r="F428" s="706" t="s">
        <v>1134</v>
      </c>
      <c r="G428" s="706">
        <v>0</v>
      </c>
      <c r="H428" s="706">
        <v>0</v>
      </c>
      <c r="I428" s="706">
        <v>0</v>
      </c>
      <c r="J428" s="706">
        <v>0</v>
      </c>
      <c r="K428" s="706">
        <v>0</v>
      </c>
      <c r="L428" s="706">
        <v>0</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G30010</v>
      </c>
      <c r="AK428" s="905" t="str">
        <f t="shared" si="37"/>
        <v>CLAIMS G.M. DU AUX CLIENT</v>
      </c>
      <c r="AL428" s="905">
        <f>IFERROR(INDEX(G428:R428,1,MATCH(Parametres!$B$3,G$1:R$1,0)-1)*IF(OR(F428="L",F428="S",F428="I"),-1,1),"")</f>
        <v>0</v>
      </c>
      <c r="AM428" s="905">
        <f t="shared" si="38"/>
        <v>0</v>
      </c>
      <c r="AN428" s="905">
        <f>INDEX(G428:R428,1,MATCH(Parametres!$B$3,G$1:R$1,0))*IF(OR(F428="L",F428="S",F428="I"),-1,1)</f>
        <v>0</v>
      </c>
      <c r="AO428" s="487" t="str">
        <f>+VLOOKUP($AJ428,Data_Validation!$A:$D,1,0)</f>
        <v>G30010</v>
      </c>
      <c r="AP428" s="487" t="str">
        <f>+VLOOKUP($AJ428,Data_Validation!$A:$D,3,0)</f>
        <v>Bilan</v>
      </c>
      <c r="AQ428" s="487" t="str">
        <f>+VLOOKUP($AJ428,Data_Validation!$A:$D,4,0)</f>
        <v>Autres Comptes à Payer</v>
      </c>
      <c r="AR428" s="487" t="s">
        <v>299</v>
      </c>
      <c r="AS428" s="487">
        <f>+VLOOKUP($AJ428,Data_Validation!$A:$E,5,0)</f>
        <v>0</v>
      </c>
      <c r="AT428" s="904" t="str">
        <f t="shared" si="39"/>
        <v>G30010</v>
      </c>
      <c r="AU428" s="488" t="str">
        <f t="shared" si="40"/>
        <v>CLAIMS G.M. DU AUX CLIENT</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1147</v>
      </c>
      <c r="B429" s="706">
        <v>2025</v>
      </c>
      <c r="C429" s="706" t="s">
        <v>2047</v>
      </c>
      <c r="D429" s="706" t="s">
        <v>2048</v>
      </c>
      <c r="E429" s="706" t="s">
        <v>1138</v>
      </c>
      <c r="F429" s="706" t="s">
        <v>1134</v>
      </c>
      <c r="G429" s="706">
        <v>39069.65</v>
      </c>
      <c r="H429" s="706">
        <v>56108.83</v>
      </c>
      <c r="I429" s="706">
        <v>24749.68</v>
      </c>
      <c r="J429" s="706">
        <v>68600.429999999993</v>
      </c>
      <c r="K429" s="706">
        <v>-3079.08</v>
      </c>
      <c r="L429" s="706">
        <v>4270.53</v>
      </c>
      <c r="M429" s="706">
        <v>-5090.57</v>
      </c>
      <c r="N429" s="706">
        <v>13592.63</v>
      </c>
      <c r="O429" s="706">
        <v>16958.849999999999</v>
      </c>
      <c r="P429" s="706">
        <v>10722.44</v>
      </c>
      <c r="Q429" s="706">
        <v>9292.2999999999993</v>
      </c>
      <c r="R429" s="706">
        <v>15033.56</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G30020</v>
      </c>
      <c r="AK429" s="905" t="str">
        <f t="shared" si="37"/>
        <v>PLAN PROTECTION A PAYER</v>
      </c>
      <c r="AL429" s="905">
        <f>IFERROR(INDEX(G429:R429,1,MATCH(Parametres!$B$3,G$1:R$1,0)-1)*IF(OR(F429="L",F429="S",F429="I"),-1,1),"")</f>
        <v>-9292.2999999999993</v>
      </c>
      <c r="AM429" s="905">
        <f t="shared" si="38"/>
        <v>-5741.26</v>
      </c>
      <c r="AN429" s="905">
        <f>INDEX(G429:R429,1,MATCH(Parametres!$B$3,G$1:R$1,0))*IF(OR(F429="L",F429="S",F429="I"),-1,1)</f>
        <v>-15033.56</v>
      </c>
      <c r="AO429" s="487" t="str">
        <f>+VLOOKUP($AJ429,Data_Validation!$A:$D,1,0)</f>
        <v>G30020</v>
      </c>
      <c r="AP429" s="487" t="str">
        <f>+VLOOKUP($AJ429,Data_Validation!$A:$D,3,0)</f>
        <v>Bilan</v>
      </c>
      <c r="AQ429" s="487" t="str">
        <f>+VLOOKUP($AJ429,Data_Validation!$A:$D,4,0)</f>
        <v>Autres Comptes à Payer</v>
      </c>
      <c r="AR429" s="487" t="s">
        <v>299</v>
      </c>
      <c r="AS429" s="487">
        <f>+VLOOKUP($AJ429,Data_Validation!$A:$E,5,0)</f>
        <v>0</v>
      </c>
      <c r="AT429" s="904" t="str">
        <f t="shared" si="39"/>
        <v>G30020</v>
      </c>
      <c r="AU429" s="488" t="str">
        <f t="shared" si="40"/>
        <v>PLAN PROTECTION A PAYER</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1147</v>
      </c>
      <c r="B430" s="706">
        <v>2025</v>
      </c>
      <c r="C430" s="706" t="s">
        <v>2049</v>
      </c>
      <c r="D430" s="706" t="s">
        <v>2050</v>
      </c>
      <c r="E430" s="706" t="s">
        <v>333</v>
      </c>
      <c r="F430" s="706" t="s">
        <v>1134</v>
      </c>
      <c r="G430" s="706">
        <v>3330</v>
      </c>
      <c r="H430" s="706">
        <v>1534.5</v>
      </c>
      <c r="I430" s="706">
        <v>2898</v>
      </c>
      <c r="J430" s="706">
        <v>3010.5</v>
      </c>
      <c r="K430" s="706">
        <v>7951</v>
      </c>
      <c r="L430" s="706">
        <v>3771</v>
      </c>
      <c r="M430" s="706">
        <v>2241</v>
      </c>
      <c r="N430" s="706">
        <v>2281.5</v>
      </c>
      <c r="O430" s="706">
        <v>1899</v>
      </c>
      <c r="P430" s="706">
        <v>2313</v>
      </c>
      <c r="Q430" s="706">
        <v>2416.5</v>
      </c>
      <c r="R430" s="706">
        <v>2232</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G30030</v>
      </c>
      <c r="AK430" s="905" t="str">
        <f t="shared" si="37"/>
        <v>DROIT SPECIF. SUR PNEUS</v>
      </c>
      <c r="AL430" s="905">
        <f>IFERROR(INDEX(G430:R430,1,MATCH(Parametres!$B$3,G$1:R$1,0)-1)*IF(OR(F430="L",F430="S",F430="I"),-1,1),"")</f>
        <v>-2416.5</v>
      </c>
      <c r="AM430" s="905">
        <f t="shared" si="38"/>
        <v>184.5</v>
      </c>
      <c r="AN430" s="905">
        <f>INDEX(G430:R430,1,MATCH(Parametres!$B$3,G$1:R$1,0))*IF(OR(F430="L",F430="S",F430="I"),-1,1)</f>
        <v>-2232</v>
      </c>
      <c r="AO430" s="487" t="str">
        <f>+VLOOKUP($AJ430,Data_Validation!$A:$D,1,0)</f>
        <v>G30030</v>
      </c>
      <c r="AP430" s="487" t="str">
        <f>+VLOOKUP($AJ430,Data_Validation!$A:$D,3,0)</f>
        <v>Bilan</v>
      </c>
      <c r="AQ430" s="487" t="str">
        <f>+VLOOKUP($AJ430,Data_Validation!$A:$D,4,0)</f>
        <v>Taxes de Vente à Payer</v>
      </c>
      <c r="AR430" s="487" t="s">
        <v>299</v>
      </c>
      <c r="AS430" s="487">
        <f>+VLOOKUP($AJ430,Data_Validation!$A:$E,5,0)</f>
        <v>0</v>
      </c>
      <c r="AT430" s="904" t="str">
        <f t="shared" si="39"/>
        <v>G30030</v>
      </c>
      <c r="AU430" s="488" t="str">
        <f t="shared" si="40"/>
        <v>DROIT SPECIF. SUR PNEUS</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1147</v>
      </c>
      <c r="B431" s="706">
        <v>2025</v>
      </c>
      <c r="C431" s="706" t="s">
        <v>2051</v>
      </c>
      <c r="D431" s="706" t="s">
        <v>2052</v>
      </c>
      <c r="E431" s="706" t="s">
        <v>333</v>
      </c>
      <c r="F431" s="706" t="s">
        <v>1134</v>
      </c>
      <c r="G431" s="706">
        <v>144500</v>
      </c>
      <c r="H431" s="706">
        <v>144500</v>
      </c>
      <c r="I431" s="706">
        <v>144500</v>
      </c>
      <c r="J431" s="706">
        <v>144500</v>
      </c>
      <c r="K431" s="706">
        <v>144500</v>
      </c>
      <c r="L431" s="706">
        <v>44500</v>
      </c>
      <c r="M431" s="706">
        <v>44500</v>
      </c>
      <c r="N431" s="706">
        <v>44500</v>
      </c>
      <c r="O431" s="706">
        <v>44500</v>
      </c>
      <c r="P431" s="706">
        <v>44500</v>
      </c>
      <c r="Q431" s="706">
        <v>44500</v>
      </c>
      <c r="R431" s="706">
        <v>-43602.19</v>
      </c>
      <c r="S431" s="706">
        <v>0</v>
      </c>
      <c r="T431" s="706">
        <v>0</v>
      </c>
      <c r="U431" s="706">
        <v>-100000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G30040</v>
      </c>
      <c r="AK431" s="905" t="str">
        <f t="shared" si="37"/>
        <v>AVANCE REMARK. AUTO CANAD</v>
      </c>
      <c r="AL431" s="905">
        <f>IFERROR(INDEX(G431:R431,1,MATCH(Parametres!$B$3,G$1:R$1,0)-1)*IF(OR(F431="L",F431="S",F431="I"),-1,1),"")</f>
        <v>-44500</v>
      </c>
      <c r="AM431" s="905">
        <f t="shared" si="38"/>
        <v>88102.19</v>
      </c>
      <c r="AN431" s="905">
        <f>INDEX(G431:R431,1,MATCH(Parametres!$B$3,G$1:R$1,0))*IF(OR(F431="L",F431="S",F431="I"),-1,1)</f>
        <v>43602.19</v>
      </c>
      <c r="AO431" s="487" t="str">
        <f>+VLOOKUP($AJ431,Data_Validation!$A:$D,1,0)</f>
        <v>G30040</v>
      </c>
      <c r="AP431" s="487" t="str">
        <f>+VLOOKUP($AJ431,Data_Validation!$A:$D,3,0)</f>
        <v>Bilan</v>
      </c>
      <c r="AQ431" s="487" t="str">
        <f>+VLOOKUP($AJ431,Data_Validation!$A:$D,4,0)</f>
        <v>Payables Intercos</v>
      </c>
      <c r="AR431" s="487" t="s">
        <v>299</v>
      </c>
      <c r="AS431" s="487">
        <f>+VLOOKUP($AJ431,Data_Validation!$A:$E,5,0)</f>
        <v>0</v>
      </c>
      <c r="AT431" s="904" t="str">
        <f t="shared" si="39"/>
        <v>G30040</v>
      </c>
      <c r="AU431" s="488" t="str">
        <f t="shared" si="40"/>
        <v>AVANCE REMARK. AUTO CANAD</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1147</v>
      </c>
      <c r="B432" s="706">
        <v>2025</v>
      </c>
      <c r="C432" s="706" t="s">
        <v>2053</v>
      </c>
      <c r="D432" s="706" t="s">
        <v>2054</v>
      </c>
      <c r="E432" s="706" t="s">
        <v>333</v>
      </c>
      <c r="F432" s="706" t="s">
        <v>1134</v>
      </c>
      <c r="G432" s="706">
        <v>1218649</v>
      </c>
      <c r="H432" s="706">
        <v>1218649</v>
      </c>
      <c r="I432" s="706">
        <v>1218649</v>
      </c>
      <c r="J432" s="706">
        <v>1218649</v>
      </c>
      <c r="K432" s="706">
        <v>1218649</v>
      </c>
      <c r="L432" s="706">
        <v>1906664.06</v>
      </c>
      <c r="M432" s="706">
        <v>3562</v>
      </c>
      <c r="N432" s="706">
        <v>3562</v>
      </c>
      <c r="O432" s="706">
        <v>3562</v>
      </c>
      <c r="P432" s="706">
        <v>3562</v>
      </c>
      <c r="Q432" s="706">
        <v>3562</v>
      </c>
      <c r="R432" s="706">
        <v>3562</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G30045</v>
      </c>
      <c r="AK432" s="905" t="str">
        <f t="shared" si="37"/>
        <v>AVANCE 9046-6640 QC INC</v>
      </c>
      <c r="AL432" s="905">
        <f>IFERROR(INDEX(G432:R432,1,MATCH(Parametres!$B$3,G$1:R$1,0)-1)*IF(OR(F432="L",F432="S",F432="I"),-1,1),"")</f>
        <v>-3562</v>
      </c>
      <c r="AM432" s="905">
        <f t="shared" si="38"/>
        <v>0</v>
      </c>
      <c r="AN432" s="905">
        <f>INDEX(G432:R432,1,MATCH(Parametres!$B$3,G$1:R$1,0))*IF(OR(F432="L",F432="S",F432="I"),-1,1)</f>
        <v>-3562</v>
      </c>
      <c r="AO432" s="487" t="str">
        <f>+VLOOKUP($AJ432,Data_Validation!$A:$D,1,0)</f>
        <v>G30045</v>
      </c>
      <c r="AP432" s="487" t="str">
        <f>+VLOOKUP($AJ432,Data_Validation!$A:$D,3,0)</f>
        <v>Bilan</v>
      </c>
      <c r="AQ432" s="487" t="str">
        <f>+VLOOKUP($AJ432,Data_Validation!$A:$D,4,0)</f>
        <v>Payables Intercos</v>
      </c>
      <c r="AR432" s="487" t="s">
        <v>299</v>
      </c>
      <c r="AS432" s="487">
        <f>+VLOOKUP($AJ432,Data_Validation!$A:$E,5,0)</f>
        <v>0</v>
      </c>
      <c r="AT432" s="904" t="str">
        <f t="shared" si="39"/>
        <v>G30045</v>
      </c>
      <c r="AU432" s="488" t="str">
        <f t="shared" si="40"/>
        <v>AVANCE 9046-6640 QC INC</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1147</v>
      </c>
      <c r="B433" s="706">
        <v>2025</v>
      </c>
      <c r="C433" s="706" t="s">
        <v>2055</v>
      </c>
      <c r="D433" s="706" t="s">
        <v>2056</v>
      </c>
      <c r="E433" s="706" t="s">
        <v>333</v>
      </c>
      <c r="F433" s="706" t="s">
        <v>1134</v>
      </c>
      <c r="G433" s="706">
        <v>5500000</v>
      </c>
      <c r="H433" s="706">
        <v>5500000</v>
      </c>
      <c r="I433" s="706">
        <v>5500000</v>
      </c>
      <c r="J433" s="706">
        <v>5500000</v>
      </c>
      <c r="K433" s="706">
        <v>5500000</v>
      </c>
      <c r="L433" s="706">
        <v>5500000</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G30046</v>
      </c>
      <c r="AK433" s="905" t="str">
        <f t="shared" si="37"/>
        <v>AVANCE HYUNDAI ST-CONSTAN</v>
      </c>
      <c r="AL433" s="905">
        <f>IFERROR(INDEX(G433:R433,1,MATCH(Parametres!$B$3,G$1:R$1,0)-1)*IF(OR(F433="L",F433="S",F433="I"),-1,1),"")</f>
        <v>0</v>
      </c>
      <c r="AM433" s="905">
        <f t="shared" si="38"/>
        <v>0</v>
      </c>
      <c r="AN433" s="905">
        <f>INDEX(G433:R433,1,MATCH(Parametres!$B$3,G$1:R$1,0))*IF(OR(F433="L",F433="S",F433="I"),-1,1)</f>
        <v>0</v>
      </c>
      <c r="AO433" s="487" t="str">
        <f>+VLOOKUP($AJ433,Data_Validation!$A:$D,1,0)</f>
        <v>G30046</v>
      </c>
      <c r="AP433" s="487" t="str">
        <f>+VLOOKUP($AJ433,Data_Validation!$A:$D,3,0)</f>
        <v>Bilan</v>
      </c>
      <c r="AQ433" s="487" t="str">
        <f>+VLOOKUP($AJ433,Data_Validation!$A:$D,4,0)</f>
        <v>Payables Intercos</v>
      </c>
      <c r="AR433" s="487" t="s">
        <v>299</v>
      </c>
      <c r="AS433" s="487">
        <f>+VLOOKUP($AJ433,Data_Validation!$A:$E,5,0)</f>
        <v>0</v>
      </c>
      <c r="AT433" s="904" t="str">
        <f t="shared" si="39"/>
        <v>G30046</v>
      </c>
      <c r="AU433" s="488" t="str">
        <f t="shared" si="40"/>
        <v>AVANCE HYUNDAI ST-CONSTAN</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1147</v>
      </c>
      <c r="B434" s="706">
        <v>2025</v>
      </c>
      <c r="C434" s="706" t="s">
        <v>2057</v>
      </c>
      <c r="D434" s="706" t="s">
        <v>2058</v>
      </c>
      <c r="E434" s="706" t="s">
        <v>333</v>
      </c>
      <c r="F434" s="706" t="s">
        <v>1134</v>
      </c>
      <c r="G434" s="706">
        <v>-100000</v>
      </c>
      <c r="H434" s="706">
        <v>-100000</v>
      </c>
      <c r="I434" s="706">
        <v>-100000</v>
      </c>
      <c r="J434" s="706">
        <v>-100000</v>
      </c>
      <c r="K434" s="706">
        <v>-100000</v>
      </c>
      <c r="L434" s="706">
        <v>0</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G30047</v>
      </c>
      <c r="AK434" s="905" t="str">
        <f t="shared" si="37"/>
        <v>AVANCE - PAUL LOISELLE</v>
      </c>
      <c r="AL434" s="905">
        <f>IFERROR(INDEX(G434:R434,1,MATCH(Parametres!$B$3,G$1:R$1,0)-1)*IF(OR(F434="L",F434="S",F434="I"),-1,1),"")</f>
        <v>0</v>
      </c>
      <c r="AM434" s="905">
        <f t="shared" si="38"/>
        <v>0</v>
      </c>
      <c r="AN434" s="905">
        <f>INDEX(G434:R434,1,MATCH(Parametres!$B$3,G$1:R$1,0))*IF(OR(F434="L",F434="S",F434="I"),-1,1)</f>
        <v>0</v>
      </c>
      <c r="AO434" s="487" t="str">
        <f>+VLOOKUP($AJ434,Data_Validation!$A:$D,1,0)</f>
        <v>G30047</v>
      </c>
      <c r="AP434" s="487" t="str">
        <f>+VLOOKUP($AJ434,Data_Validation!$A:$D,3,0)</f>
        <v>Bilan</v>
      </c>
      <c r="AQ434" s="487" t="str">
        <f>+VLOOKUP($AJ434,Data_Validation!$A:$D,4,0)</f>
        <v>Payables Intercos</v>
      </c>
      <c r="AR434" s="487" t="s">
        <v>299</v>
      </c>
      <c r="AS434" s="487">
        <f>+VLOOKUP($AJ434,Data_Validation!$A:$E,5,0)</f>
        <v>0</v>
      </c>
      <c r="AT434" s="904" t="str">
        <f t="shared" si="39"/>
        <v>G30047</v>
      </c>
      <c r="AU434" s="488" t="str">
        <f t="shared" si="40"/>
        <v>AVANCE - PAUL LOISELLE</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customHeight="1">
      <c r="A435" s="706" t="s">
        <v>1147</v>
      </c>
      <c r="B435" s="706">
        <v>2025</v>
      </c>
      <c r="C435" s="706" t="s">
        <v>2059</v>
      </c>
      <c r="D435" s="706" t="s">
        <v>2060</v>
      </c>
      <c r="E435" s="706" t="s">
        <v>333</v>
      </c>
      <c r="F435" s="706" t="s">
        <v>1134</v>
      </c>
      <c r="G435" s="706">
        <v>0</v>
      </c>
      <c r="H435" s="706">
        <v>0</v>
      </c>
      <c r="I435" s="706">
        <v>0</v>
      </c>
      <c r="J435" s="706">
        <v>0</v>
      </c>
      <c r="K435" s="706">
        <v>0</v>
      </c>
      <c r="L435" s="706">
        <v>-102129</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G30048</v>
      </c>
      <c r="AK435" s="905" t="str">
        <f t="shared" si="37"/>
        <v>AVANCE LUC POIRIER</v>
      </c>
      <c r="AL435" s="905">
        <f>IFERROR(INDEX(G435:R435,1,MATCH(Parametres!$B$3,G$1:R$1,0)-1)*IF(OR(F435="L",F435="S",F435="I"),-1,1),"")</f>
        <v>0</v>
      </c>
      <c r="AM435" s="905">
        <f t="shared" si="38"/>
        <v>0</v>
      </c>
      <c r="AN435" s="905">
        <f>INDEX(G435:R435,1,MATCH(Parametres!$B$3,G$1:R$1,0))*IF(OR(F435="L",F435="S",F435="I"),-1,1)</f>
        <v>0</v>
      </c>
      <c r="AO435" s="487" t="str">
        <f>+VLOOKUP($AJ435,Data_Validation!$A:$D,1,0)</f>
        <v>G30048</v>
      </c>
      <c r="AP435" s="487">
        <f>+VLOOKUP($AJ435,Data_Validation!$A:$D,3,0)</f>
        <v>0</v>
      </c>
      <c r="AQ435" s="487">
        <f>+VLOOKUP($AJ435,Data_Validation!$A:$D,4,0)</f>
        <v>0</v>
      </c>
      <c r="AR435" s="487" t="s">
        <v>299</v>
      </c>
      <c r="AS435" s="487">
        <f>+VLOOKUP($AJ435,Data_Validation!$A:$E,5,0)</f>
        <v>0</v>
      </c>
      <c r="AT435" s="904" t="str">
        <f t="shared" si="39"/>
        <v>G30048</v>
      </c>
      <c r="AU435" s="488" t="str">
        <f t="shared" si="40"/>
        <v>AVANCE LUC POIRIER</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1147</v>
      </c>
      <c r="B436" s="706">
        <v>2025</v>
      </c>
      <c r="C436" s="706" t="s">
        <v>2061</v>
      </c>
      <c r="D436" s="706" t="s">
        <v>2062</v>
      </c>
      <c r="E436" s="706" t="s">
        <v>333</v>
      </c>
      <c r="F436" s="706" t="s">
        <v>1134</v>
      </c>
      <c r="G436" s="706">
        <v>335513.12</v>
      </c>
      <c r="H436" s="706">
        <v>354375.58</v>
      </c>
      <c r="I436" s="706">
        <v>317194.21999999997</v>
      </c>
      <c r="J436" s="706">
        <v>329955.65999999997</v>
      </c>
      <c r="K436" s="706">
        <v>440507.43</v>
      </c>
      <c r="L436" s="706">
        <v>252038.78</v>
      </c>
      <c r="M436" s="706">
        <v>-75</v>
      </c>
      <c r="N436" s="706">
        <v>-1150</v>
      </c>
      <c r="O436" s="706">
        <v>0</v>
      </c>
      <c r="P436" s="706">
        <v>0</v>
      </c>
      <c r="Q436" s="706">
        <v>0</v>
      </c>
      <c r="R436" s="706">
        <v>-16642.84</v>
      </c>
      <c r="S436" s="706">
        <v>0</v>
      </c>
      <c r="T436" s="706">
        <v>0</v>
      </c>
      <c r="U436" s="706">
        <v>-16642.84</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G30050</v>
      </c>
      <c r="AK436" s="905" t="str">
        <f t="shared" si="37"/>
        <v>REVENUS DIFFERES</v>
      </c>
      <c r="AL436" s="905">
        <f>IFERROR(INDEX(G436:R436,1,MATCH(Parametres!$B$3,G$1:R$1,0)-1)*IF(OR(F436="L",F436="S",F436="I"),-1,1),"")</f>
        <v>0</v>
      </c>
      <c r="AM436" s="905">
        <f t="shared" si="38"/>
        <v>16642.84</v>
      </c>
      <c r="AN436" s="905">
        <f>INDEX(G436:R436,1,MATCH(Parametres!$B$3,G$1:R$1,0))*IF(OR(F436="L",F436="S",F436="I"),-1,1)</f>
        <v>16642.84</v>
      </c>
      <c r="AO436" s="487" t="str">
        <f>+VLOOKUP($AJ436,Data_Validation!$A:$D,1,0)</f>
        <v>G30050</v>
      </c>
      <c r="AP436" s="487" t="str">
        <f>+VLOOKUP($AJ436,Data_Validation!$A:$D,3,0)</f>
        <v>Bilan</v>
      </c>
      <c r="AQ436" s="487" t="str">
        <f>+VLOOKUP($AJ436,Data_Validation!$A:$D,4,0)</f>
        <v>Autres Courus</v>
      </c>
      <c r="AR436" s="487" t="s">
        <v>299</v>
      </c>
      <c r="AS436" s="487">
        <f>+VLOOKUP($AJ436,Data_Validation!$A:$E,5,0)</f>
        <v>0</v>
      </c>
      <c r="AT436" s="904" t="str">
        <f t="shared" si="39"/>
        <v>G30050</v>
      </c>
      <c r="AU436" s="488" t="str">
        <f t="shared" si="40"/>
        <v>REVENUS DIFFERES</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1147</v>
      </c>
      <c r="B437" s="706">
        <v>2025</v>
      </c>
      <c r="C437" s="706" t="s">
        <v>2063</v>
      </c>
      <c r="D437" s="706" t="s">
        <v>2064</v>
      </c>
      <c r="E437" s="706" t="s">
        <v>1140</v>
      </c>
      <c r="F437" s="706" t="s">
        <v>1134</v>
      </c>
      <c r="G437" s="706">
        <v>0</v>
      </c>
      <c r="H437" s="706">
        <v>0</v>
      </c>
      <c r="I437" s="706">
        <v>0</v>
      </c>
      <c r="J437" s="706">
        <v>0</v>
      </c>
      <c r="K437" s="706">
        <v>0</v>
      </c>
      <c r="L437" s="706">
        <v>0</v>
      </c>
      <c r="M437" s="706">
        <v>238443.54</v>
      </c>
      <c r="N437" s="706">
        <v>253226.07</v>
      </c>
      <c r="O437" s="706">
        <v>304580.38</v>
      </c>
      <c r="P437" s="706">
        <v>171441.96</v>
      </c>
      <c r="Q437" s="706">
        <v>189061.89</v>
      </c>
      <c r="R437" s="706">
        <v>299359.84999999998</v>
      </c>
      <c r="S437" s="706">
        <v>0</v>
      </c>
      <c r="T437" s="706">
        <v>0</v>
      </c>
      <c r="U437" s="706">
        <v>50071.33</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G30051</v>
      </c>
      <c r="AK437" s="905" t="str">
        <f t="shared" si="37"/>
        <v>REVENUS DIFFERÉS II</v>
      </c>
      <c r="AL437" s="905">
        <f>IFERROR(INDEX(G437:R437,1,MATCH(Parametres!$B$3,G$1:R$1,0)-1)*IF(OR(F437="L",F437="S",F437="I"),-1,1),"")</f>
        <v>-189061.89</v>
      </c>
      <c r="AM437" s="905">
        <f t="shared" si="38"/>
        <v>-110297.95999999996</v>
      </c>
      <c r="AN437" s="905">
        <f>INDEX(G437:R437,1,MATCH(Parametres!$B$3,G$1:R$1,0))*IF(OR(F437="L",F437="S",F437="I"),-1,1)</f>
        <v>-299359.84999999998</v>
      </c>
      <c r="AO437" s="487" t="str">
        <f>+VLOOKUP($AJ437,Data_Validation!$A:$D,1,0)</f>
        <v>G30051</v>
      </c>
      <c r="AP437" s="487" t="str">
        <f>+VLOOKUP($AJ437,Data_Validation!$A:$D,3,0)</f>
        <v>Bilan</v>
      </c>
      <c r="AQ437" s="487" t="str">
        <f>+VLOOKUP($AJ437,Data_Validation!$A:$D,4,0)</f>
        <v>Autres Courus</v>
      </c>
      <c r="AR437" s="487" t="s">
        <v>299</v>
      </c>
      <c r="AS437" s="487">
        <f>+VLOOKUP($AJ437,Data_Validation!$A:$E,5,0)</f>
        <v>0</v>
      </c>
      <c r="AT437" s="904" t="str">
        <f t="shared" si="39"/>
        <v>G30051</v>
      </c>
      <c r="AU437" s="488" t="str">
        <f t="shared" si="40"/>
        <v>REVENUS DIFFERÉS II</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1147</v>
      </c>
      <c r="B438" s="706">
        <v>2025</v>
      </c>
      <c r="C438" s="706" t="s">
        <v>2065</v>
      </c>
      <c r="D438" s="706" t="s">
        <v>2066</v>
      </c>
      <c r="E438" s="706" t="s">
        <v>333</v>
      </c>
      <c r="F438" s="706" t="s">
        <v>1134</v>
      </c>
      <c r="G438" s="706">
        <v>-278892.55</v>
      </c>
      <c r="H438" s="706">
        <v>-120232.55</v>
      </c>
      <c r="I438" s="706">
        <v>-206513.85</v>
      </c>
      <c r="J438" s="706">
        <v>256166.31</v>
      </c>
      <c r="K438" s="706">
        <v>353738.07</v>
      </c>
      <c r="L438" s="706">
        <v>964922.65</v>
      </c>
      <c r="M438" s="706">
        <v>664667.86</v>
      </c>
      <c r="N438" s="706">
        <v>452884.42</v>
      </c>
      <c r="O438" s="706">
        <v>310602.71999999997</v>
      </c>
      <c r="P438" s="706">
        <v>169793.75</v>
      </c>
      <c r="Q438" s="706">
        <v>195301.33</v>
      </c>
      <c r="R438" s="706">
        <v>0</v>
      </c>
      <c r="S438" s="706">
        <v>0</v>
      </c>
      <c r="T438" s="706">
        <v>0</v>
      </c>
      <c r="U438" s="706">
        <v>-74757.429999999993</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G30055</v>
      </c>
      <c r="AK438" s="905" t="str">
        <f t="shared" si="37"/>
        <v>RESERVE US-GAMMA</v>
      </c>
      <c r="AL438" s="905">
        <f>IFERROR(INDEX(G438:R438,1,MATCH(Parametres!$B$3,G$1:R$1,0)-1)*IF(OR(F438="L",F438="S",F438="I"),-1,1),"")</f>
        <v>-195301.33</v>
      </c>
      <c r="AM438" s="905">
        <f t="shared" si="38"/>
        <v>195301.33</v>
      </c>
      <c r="AN438" s="905">
        <f>INDEX(G438:R438,1,MATCH(Parametres!$B$3,G$1:R$1,0))*IF(OR(F438="L",F438="S",F438="I"),-1,1)</f>
        <v>0</v>
      </c>
      <c r="AO438" s="487" t="str">
        <f>+VLOOKUP($AJ438,Data_Validation!$A:$D,1,0)</f>
        <v>G30055</v>
      </c>
      <c r="AP438" s="487" t="str">
        <f>+VLOOKUP($AJ438,Data_Validation!$A:$D,3,0)</f>
        <v>Bilan</v>
      </c>
      <c r="AQ438" s="487" t="str">
        <f>+VLOOKUP($AJ438,Data_Validation!$A:$D,4,0)</f>
        <v>Autres Courus</v>
      </c>
      <c r="AR438" s="487" t="s">
        <v>299</v>
      </c>
      <c r="AS438" s="487">
        <f>+VLOOKUP($AJ438,Data_Validation!$A:$E,5,0)</f>
        <v>0</v>
      </c>
      <c r="AT438" s="904" t="str">
        <f t="shared" si="39"/>
        <v>G30055</v>
      </c>
      <c r="AU438" s="488" t="str">
        <f t="shared" si="40"/>
        <v>RESERVE US-GAMMA</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hidden="1" customHeight="1">
      <c r="A439" s="706" t="s">
        <v>1147</v>
      </c>
      <c r="B439" s="706">
        <v>2025</v>
      </c>
      <c r="C439" s="706" t="s">
        <v>2067</v>
      </c>
      <c r="D439" s="706" t="s">
        <v>2068</v>
      </c>
      <c r="E439" s="706" t="s">
        <v>333</v>
      </c>
      <c r="F439" s="706" t="s">
        <v>1134</v>
      </c>
      <c r="G439" s="706">
        <v>0</v>
      </c>
      <c r="H439" s="706">
        <v>0</v>
      </c>
      <c r="I439" s="706">
        <v>0</v>
      </c>
      <c r="J439" s="706">
        <v>0</v>
      </c>
      <c r="K439" s="706">
        <v>0</v>
      </c>
      <c r="L439" s="706">
        <v>0</v>
      </c>
      <c r="M439" s="706">
        <v>0</v>
      </c>
      <c r="N439" s="706">
        <v>0</v>
      </c>
      <c r="O439" s="706">
        <v>0</v>
      </c>
      <c r="P439" s="706">
        <v>0</v>
      </c>
      <c r="Q439" s="706">
        <v>0</v>
      </c>
      <c r="R439" s="706">
        <v>2000000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G30070</v>
      </c>
      <c r="AK439" s="905" t="str">
        <f t="shared" si="37"/>
        <v>AVANCES HAWKSBERY CHEV</v>
      </c>
      <c r="AL439" s="905">
        <f>IFERROR(INDEX(G439:R439,1,MATCH(Parametres!$B$3,G$1:R$1,0)-1)*IF(OR(F439="L",F439="S",F439="I"),-1,1),"")</f>
        <v>0</v>
      </c>
      <c r="AM439" s="905">
        <f t="shared" si="38"/>
        <v>-2000000</v>
      </c>
      <c r="AN439" s="905">
        <f>INDEX(G439:R439,1,MATCH(Parametres!$B$3,G$1:R$1,0))*IF(OR(F439="L",F439="S",F439="I"),-1,1)</f>
        <v>-2000000</v>
      </c>
      <c r="AO439" s="487" t="str">
        <f>+VLOOKUP($AJ439,Data_Validation!$A:$D,1,0)</f>
        <v>G30070</v>
      </c>
      <c r="AP439" s="487" t="str">
        <f>+VLOOKUP($AJ439,Data_Validation!$A:$D,3,0)</f>
        <v>Bilan</v>
      </c>
      <c r="AQ439" s="487" t="str">
        <f>+VLOOKUP($AJ439,Data_Validation!$A:$D,4,0)</f>
        <v>Payables Intercos</v>
      </c>
      <c r="AR439" s="487" t="s">
        <v>299</v>
      </c>
      <c r="AS439" s="487">
        <f>+VLOOKUP($AJ439,Data_Validation!$A:$E,5,0)</f>
        <v>0</v>
      </c>
      <c r="AT439" s="904" t="str">
        <f t="shared" si="39"/>
        <v>G30070</v>
      </c>
      <c r="AU439" s="488" t="str">
        <f t="shared" si="40"/>
        <v>AVANCES HAWKSBERY CHEV</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hidden="1" customHeight="1">
      <c r="A440" s="706" t="s">
        <v>1147</v>
      </c>
      <c r="B440" s="706">
        <v>2025</v>
      </c>
      <c r="C440" s="706" t="s">
        <v>2069</v>
      </c>
      <c r="D440" s="706" t="s">
        <v>2070</v>
      </c>
      <c r="E440" s="706" t="s">
        <v>1141</v>
      </c>
      <c r="F440" s="706" t="s">
        <v>1134</v>
      </c>
      <c r="G440" s="706">
        <v>0</v>
      </c>
      <c r="H440" s="706">
        <v>0</v>
      </c>
      <c r="I440" s="706">
        <v>0</v>
      </c>
      <c r="J440" s="706">
        <v>0</v>
      </c>
      <c r="K440" s="706">
        <v>0</v>
      </c>
      <c r="L440" s="706">
        <v>100000</v>
      </c>
      <c r="M440" s="706">
        <v>14990782.34</v>
      </c>
      <c r="N440" s="706">
        <v>14990782.34</v>
      </c>
      <c r="O440" s="706">
        <v>12640782.34</v>
      </c>
      <c r="P440" s="706">
        <v>7640782.3399999999</v>
      </c>
      <c r="Q440" s="706">
        <v>6980888.7699999996</v>
      </c>
      <c r="R440" s="706">
        <v>7590782</v>
      </c>
      <c r="S440" s="706">
        <v>0</v>
      </c>
      <c r="T440" s="706">
        <v>0</v>
      </c>
      <c r="U440" s="706">
        <v>10357469.77</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G30080</v>
      </c>
      <c r="AK440" s="905" t="str">
        <f t="shared" si="37"/>
        <v>AVANCES 13721515 CANADA I</v>
      </c>
      <c r="AL440" s="905">
        <f>IFERROR(INDEX(G440:R440,1,MATCH(Parametres!$B$3,G$1:R$1,0)-1)*IF(OR(F440="L",F440="S",F440="I"),-1,1),"")</f>
        <v>-6980888.7699999996</v>
      </c>
      <c r="AM440" s="905">
        <f t="shared" si="38"/>
        <v>-609893.23000000045</v>
      </c>
      <c r="AN440" s="905">
        <f>INDEX(G440:R440,1,MATCH(Parametres!$B$3,G$1:R$1,0))*IF(OR(F440="L",F440="S",F440="I"),-1,1)</f>
        <v>-7590782</v>
      </c>
      <c r="AO440" s="487" t="str">
        <f>+VLOOKUP($AJ440,Data_Validation!$A:$D,1,0)</f>
        <v>G30080</v>
      </c>
      <c r="AP440" s="487" t="str">
        <f>+VLOOKUP($AJ440,Data_Validation!$A:$D,3,0)</f>
        <v>Bilan</v>
      </c>
      <c r="AQ440" s="487" t="str">
        <f>+VLOOKUP($AJ440,Data_Validation!$A:$D,4,0)</f>
        <v>Payables Intercos</v>
      </c>
      <c r="AR440" s="487" t="s">
        <v>299</v>
      </c>
      <c r="AS440" s="487">
        <f>+VLOOKUP($AJ440,Data_Validation!$A:$E,5,0)</f>
        <v>0</v>
      </c>
      <c r="AT440" s="904" t="str">
        <f t="shared" si="39"/>
        <v>G30080</v>
      </c>
      <c r="AU440" s="488" t="str">
        <f t="shared" si="40"/>
        <v>AVANCES 13721515 CANADA I</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1147</v>
      </c>
      <c r="B441" s="706">
        <v>2025</v>
      </c>
      <c r="C441" s="706" t="s">
        <v>2071</v>
      </c>
      <c r="D441" s="706" t="s">
        <v>2072</v>
      </c>
      <c r="E441" s="706" t="s">
        <v>333</v>
      </c>
      <c r="F441" s="706" t="s">
        <v>1134</v>
      </c>
      <c r="G441" s="706">
        <v>0</v>
      </c>
      <c r="H441" s="706">
        <v>0</v>
      </c>
      <c r="I441" s="706">
        <v>0</v>
      </c>
      <c r="J441" s="706">
        <v>0</v>
      </c>
      <c r="K441" s="706">
        <v>0</v>
      </c>
      <c r="L441" s="706">
        <v>181687</v>
      </c>
      <c r="M441" s="706">
        <v>181687</v>
      </c>
      <c r="N441" s="706">
        <v>181687</v>
      </c>
      <c r="O441" s="706">
        <v>181687</v>
      </c>
      <c r="P441" s="706">
        <v>181477.75</v>
      </c>
      <c r="Q441" s="706">
        <v>181477.75</v>
      </c>
      <c r="R441" s="706">
        <v>181477.75</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G30090</v>
      </c>
      <c r="AK441" s="905" t="str">
        <f t="shared" si="37"/>
        <v>AVANCES 9512-1703 QC</v>
      </c>
      <c r="AL441" s="905">
        <f>IFERROR(INDEX(G441:R441,1,MATCH(Parametres!$B$3,G$1:R$1,0)-1)*IF(OR(F441="L",F441="S",F441="I"),-1,1),"")</f>
        <v>-181477.75</v>
      </c>
      <c r="AM441" s="905">
        <f t="shared" si="38"/>
        <v>0</v>
      </c>
      <c r="AN441" s="905">
        <f>INDEX(G441:R441,1,MATCH(Parametres!$B$3,G$1:R$1,0))*IF(OR(F441="L",F441="S",F441="I"),-1,1)</f>
        <v>-181477.75</v>
      </c>
      <c r="AO441" s="487" t="str">
        <f>+VLOOKUP($AJ441,Data_Validation!$A:$D,1,0)</f>
        <v>G30090</v>
      </c>
      <c r="AP441" s="487" t="str">
        <f>+VLOOKUP($AJ441,Data_Validation!$A:$D,3,0)</f>
        <v>Bilan</v>
      </c>
      <c r="AQ441" s="487" t="str">
        <f>+VLOOKUP($AJ441,Data_Validation!$A:$D,4,0)</f>
        <v>Payables Intercos</v>
      </c>
      <c r="AR441" s="487" t="s">
        <v>299</v>
      </c>
      <c r="AS441" s="487">
        <f>+VLOOKUP($AJ441,Data_Validation!$A:$E,5,0)</f>
        <v>0</v>
      </c>
      <c r="AT441" s="904" t="str">
        <f t="shared" si="39"/>
        <v>G30090</v>
      </c>
      <c r="AU441" s="488" t="str">
        <f t="shared" si="40"/>
        <v>AVANCES 9512-1703 QC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customHeight="1">
      <c r="A442" s="706" t="s">
        <v>1147</v>
      </c>
      <c r="B442" s="706">
        <v>2025</v>
      </c>
      <c r="C442" s="706" t="s">
        <v>2075</v>
      </c>
      <c r="D442" s="706" t="s">
        <v>2076</v>
      </c>
      <c r="E442" s="706" t="s">
        <v>1141</v>
      </c>
      <c r="F442" s="706" t="s">
        <v>1134</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G30100</v>
      </c>
      <c r="AK442" s="905" t="str">
        <f t="shared" si="37"/>
        <v>DEPOT CLIENTS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G30100</v>
      </c>
      <c r="AU442" s="488" t="str">
        <f t="shared" si="40"/>
        <v>DEPOT CLIENTS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customHeight="1">
      <c r="A443" s="706" t="s">
        <v>1147</v>
      </c>
      <c r="B443" s="706">
        <v>2025</v>
      </c>
      <c r="C443" s="706" t="s">
        <v>2078</v>
      </c>
      <c r="D443" s="706" t="s">
        <v>2079</v>
      </c>
      <c r="E443" s="706" t="s">
        <v>1144</v>
      </c>
      <c r="F443" s="706" t="s">
        <v>1134</v>
      </c>
      <c r="G443" s="706">
        <v>0</v>
      </c>
      <c r="H443" s="706">
        <v>0</v>
      </c>
      <c r="I443" s="706">
        <v>0</v>
      </c>
      <c r="J443" s="706">
        <v>0</v>
      </c>
      <c r="K443" s="706">
        <v>0</v>
      </c>
      <c r="L443" s="706">
        <v>0</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G30900</v>
      </c>
      <c r="AK443" s="905" t="str">
        <f t="shared" si="37"/>
        <v>EFFETS A PAYER POINDS MOY</v>
      </c>
      <c r="AL443" s="905">
        <f>IFERROR(INDEX(G443:R443,1,MATCH(Parametres!$B$3,G$1:R$1,0)-1)*IF(OR(F443="L",F443="S",F443="I"),-1,1),"")</f>
        <v>0</v>
      </c>
      <c r="AM443" s="905">
        <f t="shared" si="38"/>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t="str">
        <f t="shared" si="39"/>
        <v>G30900</v>
      </c>
      <c r="AU443" s="488" t="str">
        <f t="shared" si="40"/>
        <v>EFFETS A PAYER POINDS MOY</v>
      </c>
      <c r="AV443" s="899">
        <f>IFERROR(INDEX(V443:AG443,1,MATCH(Parametres!$B$3,V$1:AG$1,0)-1)*IF(OR(C443="L",C443="S",C443="I"),-1,1),"")</f>
        <v>0</v>
      </c>
      <c r="AW443" s="899">
        <f t="shared" si="41"/>
        <v>0</v>
      </c>
      <c r="AX443" s="899">
        <f>INDEX(V443:AG443,1,MATCH(Parametres!$B$3,V$1:AG$1,0))*IF(OR(C443="L",C443="S",C443="I"),-1,1)</f>
        <v>0</v>
      </c>
      <c r="AY443" s="487" t="s">
        <v>337</v>
      </c>
      <c r="AZ443" s="487" t="e">
        <f>+VLOOKUP($AJ443,Data_Validation!$A:$E,5,0)</f>
        <v>#N/A</v>
      </c>
    </row>
    <row r="444" spans="1:52" ht="15.75" hidden="1" customHeight="1">
      <c r="A444" s="706" t="s">
        <v>1147</v>
      </c>
      <c r="B444" s="706">
        <v>2025</v>
      </c>
      <c r="C444" s="706" t="s">
        <v>2080</v>
      </c>
      <c r="D444" s="706" t="s">
        <v>2081</v>
      </c>
      <c r="E444" s="706" t="s">
        <v>1144</v>
      </c>
      <c r="F444" s="706" t="s">
        <v>1134</v>
      </c>
      <c r="G444" s="706">
        <v>19950211.629999999</v>
      </c>
      <c r="H444" s="706">
        <v>26708222.260000002</v>
      </c>
      <c r="I444" s="706">
        <v>45659885.109999999</v>
      </c>
      <c r="J444" s="706">
        <v>42592366.200000003</v>
      </c>
      <c r="K444" s="706">
        <v>42163816.810000002</v>
      </c>
      <c r="L444" s="706">
        <v>29745813.18</v>
      </c>
      <c r="M444" s="706">
        <v>24365722.739999998</v>
      </c>
      <c r="N444" s="706">
        <v>20517457.690000001</v>
      </c>
      <c r="O444" s="706">
        <v>26529885.82</v>
      </c>
      <c r="P444" s="706">
        <v>31275220.559999999</v>
      </c>
      <c r="Q444" s="706">
        <v>26945602.82</v>
      </c>
      <c r="R444" s="706">
        <v>27796997.760000002</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G31000</v>
      </c>
      <c r="AK444" s="905" t="str">
        <f t="shared" si="37"/>
        <v>EFFETS A PAYER VEHICULES</v>
      </c>
      <c r="AL444" s="905">
        <f>IFERROR(INDEX(G444:R444,1,MATCH(Parametres!$B$3,G$1:R$1,0)-1)*IF(OR(F444="L",F444="S",F444="I"),-1,1),"")</f>
        <v>-26945602.82</v>
      </c>
      <c r="AM444" s="905">
        <f t="shared" si="38"/>
        <v>-851394.94000000134</v>
      </c>
      <c r="AN444" s="905">
        <f>INDEX(G444:R444,1,MATCH(Parametres!$B$3,G$1:R$1,0))*IF(OR(F444="L",F444="S",F444="I"),-1,1)</f>
        <v>-27796997.760000002</v>
      </c>
      <c r="AO444" s="487" t="str">
        <f>+VLOOKUP($AJ444,Data_Validation!$A:$D,1,0)</f>
        <v>G31000</v>
      </c>
      <c r="AP444" s="487" t="str">
        <f>+VLOOKUP($AJ444,Data_Validation!$A:$D,3,0)</f>
        <v>Bilan</v>
      </c>
      <c r="AQ444" s="487" t="str">
        <f>+VLOOKUP($AJ444,Data_Validation!$A:$D,4,0)</f>
        <v>Effet à Payer Véhicules Neufs</v>
      </c>
      <c r="AR444" s="487" t="s">
        <v>299</v>
      </c>
      <c r="AS444" s="487">
        <f>+VLOOKUP($AJ444,Data_Validation!$A:$E,5,0)</f>
        <v>0</v>
      </c>
      <c r="AT444" s="904" t="str">
        <f t="shared" si="39"/>
        <v>G31000</v>
      </c>
      <c r="AU444" s="488" t="str">
        <f t="shared" si="40"/>
        <v>EFFETS A PAYER VEHICULES</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hidden="1" customHeight="1">
      <c r="A445" s="706" t="s">
        <v>1147</v>
      </c>
      <c r="B445" s="706">
        <v>2025</v>
      </c>
      <c r="C445" s="706" t="s">
        <v>2082</v>
      </c>
      <c r="D445" s="706" t="s">
        <v>2083</v>
      </c>
      <c r="E445" s="706" t="s">
        <v>1144</v>
      </c>
      <c r="F445" s="706" t="s">
        <v>1134</v>
      </c>
      <c r="G445" s="706">
        <v>4788948.13</v>
      </c>
      <c r="H445" s="706">
        <v>13360012.949999999</v>
      </c>
      <c r="I445" s="706">
        <v>17970037.059999999</v>
      </c>
      <c r="J445" s="706">
        <v>19887170.66</v>
      </c>
      <c r="K445" s="706">
        <v>16835557.010000002</v>
      </c>
      <c r="L445" s="706">
        <v>10652719.73</v>
      </c>
      <c r="M445" s="706">
        <v>6557333.7300000004</v>
      </c>
      <c r="N445" s="706">
        <v>4588456.09</v>
      </c>
      <c r="O445" s="706">
        <v>3971863.11</v>
      </c>
      <c r="P445" s="706">
        <v>6514875.9100000001</v>
      </c>
      <c r="Q445" s="706">
        <v>10501397.1</v>
      </c>
      <c r="R445" s="706">
        <v>19316937.27</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G31100</v>
      </c>
      <c r="AK445" s="905" t="str">
        <f t="shared" si="37"/>
        <v>EFFETS PAYER VEH. OCC.</v>
      </c>
      <c r="AL445" s="905">
        <f>IFERROR(INDEX(G445:R445,1,MATCH(Parametres!$B$3,G$1:R$1,0)-1)*IF(OR(F445="L",F445="S",F445="I"),-1,1),"")</f>
        <v>-10501397.1</v>
      </c>
      <c r="AM445" s="905">
        <f t="shared" si="38"/>
        <v>-8815540.1699999999</v>
      </c>
      <c r="AN445" s="905">
        <f>INDEX(G445:R445,1,MATCH(Parametres!$B$3,G$1:R$1,0))*IF(OR(F445="L",F445="S",F445="I"),-1,1)</f>
        <v>-19316937.27</v>
      </c>
      <c r="AO445" s="487" t="str">
        <f>+VLOOKUP($AJ445,Data_Validation!$A:$D,1,0)</f>
        <v>G31100</v>
      </c>
      <c r="AP445" s="487" t="str">
        <f>+VLOOKUP($AJ445,Data_Validation!$A:$D,3,0)</f>
        <v>Bilan</v>
      </c>
      <c r="AQ445" s="487" t="str">
        <f>+VLOOKUP($AJ445,Data_Validation!$A:$D,4,0)</f>
        <v>Effet à Payer Véhicules Usagés</v>
      </c>
      <c r="AR445" s="487" t="s">
        <v>299</v>
      </c>
      <c r="AS445" s="487">
        <f>+VLOOKUP($AJ445,Data_Validation!$A:$E,5,0)</f>
        <v>0</v>
      </c>
      <c r="AT445" s="904" t="str">
        <f t="shared" si="39"/>
        <v>G31100</v>
      </c>
      <c r="AU445" s="488" t="str">
        <f t="shared" si="40"/>
        <v>EFFETS PAYER VEH. OCC.</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customHeight="1">
      <c r="A446" s="706" t="s">
        <v>1147</v>
      </c>
      <c r="B446" s="706">
        <v>2025</v>
      </c>
      <c r="C446" s="706" t="s">
        <v>2084</v>
      </c>
      <c r="D446" s="706" t="s">
        <v>2085</v>
      </c>
      <c r="E446" s="706" t="s">
        <v>1144</v>
      </c>
      <c r="F446" s="706" t="s">
        <v>1134</v>
      </c>
      <c r="G446" s="706">
        <v>0</v>
      </c>
      <c r="H446" s="706">
        <v>0</v>
      </c>
      <c r="I446" s="706">
        <v>0</v>
      </c>
      <c r="J446" s="706">
        <v>0</v>
      </c>
      <c r="K446" s="706">
        <v>0</v>
      </c>
      <c r="L446" s="706">
        <v>0</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G31200</v>
      </c>
      <c r="AK446" s="905" t="str">
        <f t="shared" si="37"/>
        <v>A/P VEHICULES LOCATIONS</v>
      </c>
      <c r="AL446" s="905">
        <f>IFERROR(INDEX(G446:R446,1,MATCH(Parametres!$B$3,G$1:R$1,0)-1)*IF(OR(F446="L",F446="S",F446="I"),-1,1),"")</f>
        <v>0</v>
      </c>
      <c r="AM446" s="905">
        <f t="shared" si="38"/>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t="str">
        <f t="shared" si="39"/>
        <v>G31200</v>
      </c>
      <c r="AU446" s="488" t="str">
        <f t="shared" si="40"/>
        <v>A/P VEHICULES LOCATIONS</v>
      </c>
      <c r="AV446" s="899">
        <f>IFERROR(INDEX(V446:AG446,1,MATCH(Parametres!$B$3,V$1:AG$1,0)-1)*IF(OR(C446="L",C446="S",C446="I"),-1,1),"")</f>
        <v>0</v>
      </c>
      <c r="AW446" s="899">
        <f t="shared" si="41"/>
        <v>0</v>
      </c>
      <c r="AX446" s="899">
        <f>INDEX(V446:AG446,1,MATCH(Parametres!$B$3,V$1:AG$1,0))*IF(OR(C446="L",C446="S",C446="I"),-1,1)</f>
        <v>0</v>
      </c>
      <c r="AY446" s="487" t="s">
        <v>337</v>
      </c>
      <c r="AZ446" s="487" t="e">
        <f>+VLOOKUP($AJ446,Data_Validation!$A:$E,5,0)</f>
        <v>#N/A</v>
      </c>
    </row>
    <row r="447" spans="1:52" ht="15.75" customHeight="1">
      <c r="A447" s="706" t="s">
        <v>1147</v>
      </c>
      <c r="B447" s="706">
        <v>2025</v>
      </c>
      <c r="C447" s="706" t="s">
        <v>2086</v>
      </c>
      <c r="D447" s="706" t="s">
        <v>1143</v>
      </c>
      <c r="E447" s="706" t="s">
        <v>333</v>
      </c>
      <c r="F447" s="706" t="s">
        <v>1134</v>
      </c>
      <c r="G447" s="706">
        <v>0</v>
      </c>
      <c r="H447" s="706">
        <v>0</v>
      </c>
      <c r="I447" s="706">
        <v>0</v>
      </c>
      <c r="J447" s="706">
        <v>0</v>
      </c>
      <c r="K447" s="706">
        <v>0</v>
      </c>
      <c r="L447" s="706">
        <v>0</v>
      </c>
      <c r="M447" s="706">
        <v>120000</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G31400</v>
      </c>
      <c r="AK447" s="905" t="str">
        <f t="shared" si="37"/>
        <v>MARGE DE CREDIT</v>
      </c>
      <c r="AL447" s="905">
        <f>IFERROR(INDEX(G447:R447,1,MATCH(Parametres!$B$3,G$1:R$1,0)-1)*IF(OR(F447="L",F447="S",F447="I"),-1,1),"")</f>
        <v>0</v>
      </c>
      <c r="AM447" s="905">
        <f t="shared" si="38"/>
        <v>0</v>
      </c>
      <c r="AN447" s="905">
        <f>INDEX(G447:R447,1,MATCH(Parametres!$B$3,G$1:R$1,0))*IF(OR(F447="L",F447="S",F447="I"),-1,1)</f>
        <v>0</v>
      </c>
      <c r="AO447" s="487" t="str">
        <f>+VLOOKUP($AJ447,Data_Validation!$A:$D,1,0)</f>
        <v>G31400</v>
      </c>
      <c r="AP447" s="487">
        <f>+VLOOKUP($AJ447,Data_Validation!$A:$D,3,0)</f>
        <v>0</v>
      </c>
      <c r="AQ447" s="487">
        <f>+VLOOKUP($AJ447,Data_Validation!$A:$D,4,0)</f>
        <v>0</v>
      </c>
      <c r="AR447" s="487" t="s">
        <v>299</v>
      </c>
      <c r="AS447" s="487">
        <f>+VLOOKUP($AJ447,Data_Validation!$A:$E,5,0)</f>
        <v>0</v>
      </c>
      <c r="AT447" s="904" t="str">
        <f t="shared" si="39"/>
        <v>G31400</v>
      </c>
      <c r="AU447" s="488" t="str">
        <f t="shared" si="40"/>
        <v>MARGE DE CREDIT</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customHeight="1">
      <c r="A448" s="706" t="s">
        <v>1147</v>
      </c>
      <c r="B448" s="706">
        <v>2025</v>
      </c>
      <c r="C448" s="706" t="s">
        <v>2087</v>
      </c>
      <c r="D448" s="706" t="s">
        <v>2088</v>
      </c>
      <c r="E448" s="706" t="s">
        <v>333</v>
      </c>
      <c r="F448" s="706" t="s">
        <v>1134</v>
      </c>
      <c r="G448" s="706">
        <v>0</v>
      </c>
      <c r="H448" s="706">
        <v>0</v>
      </c>
      <c r="I448" s="706">
        <v>0</v>
      </c>
      <c r="J448" s="706">
        <v>0</v>
      </c>
      <c r="K448" s="706">
        <v>0</v>
      </c>
      <c r="L448" s="706">
        <v>0</v>
      </c>
      <c r="M448" s="706">
        <v>0</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G31500</v>
      </c>
      <c r="AK448" s="905" t="str">
        <f t="shared" si="37"/>
        <v>T.P.S. PAYABLE</v>
      </c>
      <c r="AL448" s="905">
        <f>IFERROR(INDEX(G448:R448,1,MATCH(Parametres!$B$3,G$1:R$1,0)-1)*IF(OR(F448="L",F448="S",F448="I"),-1,1),"")</f>
        <v>0</v>
      </c>
      <c r="AM448" s="905">
        <f t="shared" si="38"/>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t="str">
        <f t="shared" si="39"/>
        <v>G31500</v>
      </c>
      <c r="AU448" s="488" t="str">
        <f t="shared" si="40"/>
        <v>T.P.S. PAYABLE</v>
      </c>
      <c r="AV448" s="899">
        <f>IFERROR(INDEX(V448:AG448,1,MATCH(Parametres!$B$3,V$1:AG$1,0)-1)*IF(OR(C448="L",C448="S",C448="I"),-1,1),"")</f>
        <v>0</v>
      </c>
      <c r="AW448" s="899">
        <f t="shared" si="41"/>
        <v>0</v>
      </c>
      <c r="AX448" s="899">
        <f>INDEX(V448:AG448,1,MATCH(Parametres!$B$3,V$1:AG$1,0))*IF(OR(C448="L",C448="S",C448="I"),-1,1)</f>
        <v>0</v>
      </c>
      <c r="AY448" s="487" t="s">
        <v>337</v>
      </c>
      <c r="AZ448" s="487" t="e">
        <f>+VLOOKUP($AJ448,Data_Validation!$A:$E,5,0)</f>
        <v>#N/A</v>
      </c>
    </row>
    <row r="449" spans="1:52" ht="15.75" customHeight="1">
      <c r="A449" s="706" t="s">
        <v>1147</v>
      </c>
      <c r="B449" s="706">
        <v>2025</v>
      </c>
      <c r="C449" s="706" t="s">
        <v>2089</v>
      </c>
      <c r="D449" s="706" t="s">
        <v>2090</v>
      </c>
      <c r="E449" s="706" t="s">
        <v>333</v>
      </c>
      <c r="F449" s="706" t="s">
        <v>1134</v>
      </c>
      <c r="G449" s="706">
        <v>0</v>
      </c>
      <c r="H449" s="706">
        <v>0</v>
      </c>
      <c r="I449" s="706">
        <v>0</v>
      </c>
      <c r="J449" s="706">
        <v>0</v>
      </c>
      <c r="K449" s="706">
        <v>-73648</v>
      </c>
      <c r="L449" s="706">
        <v>-73648</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G32000</v>
      </c>
      <c r="AK449" s="905" t="str">
        <f t="shared" si="37"/>
        <v>INTERETS A/P</v>
      </c>
      <c r="AL449" s="905">
        <f>IFERROR(INDEX(G449:R449,1,MATCH(Parametres!$B$3,G$1:R$1,0)-1)*IF(OR(F449="L",F449="S",F449="I"),-1,1),"")</f>
        <v>0</v>
      </c>
      <c r="AM449" s="905">
        <f t="shared" si="38"/>
        <v>0</v>
      </c>
      <c r="AN449" s="905">
        <f>INDEX(G449:R449,1,MATCH(Parametres!$B$3,G$1:R$1,0))*IF(OR(F449="L",F449="S",F449="I"),-1,1)</f>
        <v>0</v>
      </c>
      <c r="AO449" s="487" t="str">
        <f>+VLOOKUP($AJ449,Data_Validation!$A:$D,1,0)</f>
        <v>G32000</v>
      </c>
      <c r="AP449" s="487">
        <f>+VLOOKUP($AJ449,Data_Validation!$A:$D,3,0)</f>
        <v>0</v>
      </c>
      <c r="AQ449" s="487">
        <f>+VLOOKUP($AJ449,Data_Validation!$A:$D,4,0)</f>
        <v>0</v>
      </c>
      <c r="AR449" s="487" t="s">
        <v>299</v>
      </c>
      <c r="AS449" s="487">
        <f>+VLOOKUP($AJ449,Data_Validation!$A:$E,5,0)</f>
        <v>0</v>
      </c>
      <c r="AT449" s="904" t="str">
        <f t="shared" si="39"/>
        <v>G32000</v>
      </c>
      <c r="AU449" s="488" t="str">
        <f t="shared" si="40"/>
        <v>INTERETS A/P</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1147</v>
      </c>
      <c r="B450" s="706">
        <v>2025</v>
      </c>
      <c r="C450" s="706" t="s">
        <v>2091</v>
      </c>
      <c r="D450" s="706" t="s">
        <v>2092</v>
      </c>
      <c r="E450" s="706" t="s">
        <v>333</v>
      </c>
      <c r="F450" s="706" t="s">
        <v>1134</v>
      </c>
      <c r="G450" s="706">
        <v>9264.94</v>
      </c>
      <c r="H450" s="706">
        <v>9238.51</v>
      </c>
      <c r="I450" s="706">
        <v>10191.27</v>
      </c>
      <c r="J450" s="706">
        <v>15634.62</v>
      </c>
      <c r="K450" s="706">
        <v>12097.82</v>
      </c>
      <c r="L450" s="706">
        <v>9763.9</v>
      </c>
      <c r="M450" s="706">
        <v>7774.35</v>
      </c>
      <c r="N450" s="706">
        <v>1717.72</v>
      </c>
      <c r="O450" s="706">
        <v>-610.77</v>
      </c>
      <c r="P450" s="706">
        <v>7960.18</v>
      </c>
      <c r="Q450" s="706">
        <v>5265.02</v>
      </c>
      <c r="R450" s="706">
        <v>3830.14</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G3210A</v>
      </c>
      <c r="AK450" s="905" t="str">
        <f t="shared" si="37"/>
        <v>ASS-COLLECTIVE A PAYER</v>
      </c>
      <c r="AL450" s="905">
        <f>IFERROR(INDEX(G450:R450,1,MATCH(Parametres!$B$3,G$1:R$1,0)-1)*IF(OR(F450="L",F450="S",F450="I"),-1,1),"")</f>
        <v>-5265.02</v>
      </c>
      <c r="AM450" s="905">
        <f t="shared" si="38"/>
        <v>1434.8800000000006</v>
      </c>
      <c r="AN450" s="905">
        <f>INDEX(G450:R450,1,MATCH(Parametres!$B$3,G$1:R$1,0))*IF(OR(F450="L",F450="S",F450="I"),-1,1)</f>
        <v>-3830.14</v>
      </c>
      <c r="AO450" s="487" t="str">
        <f>+VLOOKUP($AJ450,Data_Validation!$A:$D,1,0)</f>
        <v>G3210A</v>
      </c>
      <c r="AP450" s="487" t="str">
        <f>+VLOOKUP($AJ450,Data_Validation!$A:$D,3,0)</f>
        <v>Bilan</v>
      </c>
      <c r="AQ450" s="487" t="str">
        <f>+VLOOKUP($AJ450,Data_Validation!$A:$D,4,0)</f>
        <v>DAS à Payer</v>
      </c>
      <c r="AR450" s="487" t="s">
        <v>299</v>
      </c>
      <c r="AS450" s="487">
        <f>+VLOOKUP($AJ450,Data_Validation!$A:$E,5,0)</f>
        <v>0</v>
      </c>
      <c r="AT450" s="904" t="str">
        <f t="shared" si="39"/>
        <v>G3210A</v>
      </c>
      <c r="AU450" s="488" t="str">
        <f t="shared" si="40"/>
        <v>ASS-COLLECTIVE A PAYER</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hidden="1" customHeight="1">
      <c r="A451" s="706" t="s">
        <v>1147</v>
      </c>
      <c r="B451" s="706">
        <v>2025</v>
      </c>
      <c r="C451" s="706" t="s">
        <v>2093</v>
      </c>
      <c r="D451" s="706" t="s">
        <v>2094</v>
      </c>
      <c r="E451" s="706" t="s">
        <v>333</v>
      </c>
      <c r="F451" s="706" t="s">
        <v>1134</v>
      </c>
      <c r="G451" s="706">
        <v>85765.65</v>
      </c>
      <c r="H451" s="706">
        <v>88163.07</v>
      </c>
      <c r="I451" s="706">
        <v>102963.61</v>
      </c>
      <c r="J451" s="706">
        <v>-32990.39</v>
      </c>
      <c r="K451" s="706">
        <v>0</v>
      </c>
      <c r="L451" s="706">
        <v>17378.509999999998</v>
      </c>
      <c r="M451" s="706">
        <v>69513.98</v>
      </c>
      <c r="N451" s="706">
        <v>80355.47</v>
      </c>
      <c r="O451" s="706">
        <v>116646.41</v>
      </c>
      <c r="P451" s="706">
        <v>0</v>
      </c>
      <c r="Q451" s="706">
        <v>0</v>
      </c>
      <c r="R451" s="706">
        <v>71293.990000000005</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G32100</v>
      </c>
      <c r="AK451" s="905" t="str">
        <f t="shared" si="37"/>
        <v>SALAIRES &amp; COMM. A PAYER</v>
      </c>
      <c r="AL451" s="905">
        <f>IFERROR(INDEX(G451:R451,1,MATCH(Parametres!$B$3,G$1:R$1,0)-1)*IF(OR(F451="L",F451="S",F451="I"),-1,1),"")</f>
        <v>0</v>
      </c>
      <c r="AM451" s="905">
        <f t="shared" si="38"/>
        <v>-71293.990000000005</v>
      </c>
      <c r="AN451" s="905">
        <f>INDEX(G451:R451,1,MATCH(Parametres!$B$3,G$1:R$1,0))*IF(OR(F451="L",F451="S",F451="I"),-1,1)</f>
        <v>-71293.990000000005</v>
      </c>
      <c r="AO451" s="487" t="str">
        <f>+VLOOKUP($AJ451,Data_Validation!$A:$D,1,0)</f>
        <v>G32100</v>
      </c>
      <c r="AP451" s="487" t="str">
        <f>+VLOOKUP($AJ451,Data_Validation!$A:$D,3,0)</f>
        <v>Bilan</v>
      </c>
      <c r="AQ451" s="487" t="str">
        <f>+VLOOKUP($AJ451,Data_Validation!$A:$D,4,0)</f>
        <v>Salaires à Payer</v>
      </c>
      <c r="AR451" s="487" t="s">
        <v>299</v>
      </c>
      <c r="AS451" s="487">
        <f>+VLOOKUP($AJ451,Data_Validation!$A:$E,5,0)</f>
        <v>0</v>
      </c>
      <c r="AT451" s="904" t="str">
        <f t="shared" si="39"/>
        <v>G32100</v>
      </c>
      <c r="AU451" s="488" t="str">
        <f t="shared" si="40"/>
        <v>SALAIRES &amp; COMM.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1147</v>
      </c>
      <c r="B452" s="706">
        <v>2025</v>
      </c>
      <c r="C452" s="706" t="s">
        <v>2095</v>
      </c>
      <c r="D452" s="706" t="s">
        <v>2096</v>
      </c>
      <c r="E452" s="706" t="s">
        <v>1145</v>
      </c>
      <c r="F452" s="706" t="s">
        <v>1134</v>
      </c>
      <c r="G452" s="706">
        <v>42351.8</v>
      </c>
      <c r="H452" s="706">
        <v>52213.13</v>
      </c>
      <c r="I452" s="706">
        <v>51331.17</v>
      </c>
      <c r="J452" s="706">
        <v>52516.61</v>
      </c>
      <c r="K452" s="706">
        <v>68506.27</v>
      </c>
      <c r="L452" s="706">
        <v>80948.03</v>
      </c>
      <c r="M452" s="706">
        <v>74980.84</v>
      </c>
      <c r="N452" s="706">
        <v>140693.9</v>
      </c>
      <c r="O452" s="706">
        <v>184454.92</v>
      </c>
      <c r="P452" s="706">
        <v>15446.64</v>
      </c>
      <c r="Q452" s="706">
        <v>83081.279999999999</v>
      </c>
      <c r="R452" s="706">
        <v>139120.79999999999</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G32101</v>
      </c>
      <c r="AK452" s="905" t="str">
        <f t="shared" ref="AK452:AK466" si="43">D452</f>
        <v>COMMISSIONS A PAYER</v>
      </c>
      <c r="AL452" s="905">
        <f>IFERROR(INDEX(G452:R452,1,MATCH(Parametres!$B$3,G$1:R$1,0)-1)*IF(OR(F452="L",F452="S",F452="I"),-1,1),"")</f>
        <v>-83081.279999999999</v>
      </c>
      <c r="AM452" s="905">
        <f t="shared" ref="AM452:AM515" si="44">AN452-AL452</f>
        <v>-56039.51999999999</v>
      </c>
      <c r="AN452" s="905">
        <f>INDEX(G452:R452,1,MATCH(Parametres!$B$3,G$1:R$1,0))*IF(OR(F452="L",F452="S",F452="I"),-1,1)</f>
        <v>-139120.79999999999</v>
      </c>
      <c r="AO452" s="487" t="str">
        <f>+VLOOKUP($AJ452,Data_Validation!$A:$D,1,0)</f>
        <v>G32101</v>
      </c>
      <c r="AP452" s="487" t="str">
        <f>+VLOOKUP($AJ452,Data_Validation!$A:$D,3,0)</f>
        <v>Bilan</v>
      </c>
      <c r="AQ452" s="487" t="str">
        <f>+VLOOKUP($AJ452,Data_Validation!$A:$D,4,0)</f>
        <v>Salaires à Payer</v>
      </c>
      <c r="AR452" s="487" t="s">
        <v>299</v>
      </c>
      <c r="AS452" s="487">
        <f>+VLOOKUP($AJ452,Data_Validation!$A:$E,5,0)</f>
        <v>0</v>
      </c>
      <c r="AT452" s="904" t="str">
        <f t="shared" ref="AT452:AT515" si="45">C452</f>
        <v>G32101</v>
      </c>
      <c r="AU452" s="488" t="str">
        <f t="shared" ref="AU452:AU515" si="46">D452</f>
        <v>COMMISSIONS A PAYER</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customHeight="1">
      <c r="A453" s="706" t="s">
        <v>1147</v>
      </c>
      <c r="B453" s="706">
        <v>2025</v>
      </c>
      <c r="C453" s="706" t="s">
        <v>2097</v>
      </c>
      <c r="D453" s="706" t="s">
        <v>2098</v>
      </c>
      <c r="E453" s="706" t="s">
        <v>1104</v>
      </c>
      <c r="F453" s="706" t="s">
        <v>1134</v>
      </c>
      <c r="G453" s="706">
        <v>0</v>
      </c>
      <c r="H453" s="706">
        <v>0</v>
      </c>
      <c r="I453" s="706">
        <v>0</v>
      </c>
      <c r="J453" s="706">
        <v>0</v>
      </c>
      <c r="K453" s="706">
        <v>0</v>
      </c>
      <c r="L453" s="706">
        <v>0</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G32102</v>
      </c>
      <c r="AK453" s="905" t="str">
        <f t="shared" si="43"/>
        <v>SALAIRES A PAYER</v>
      </c>
      <c r="AL453" s="905">
        <f>IFERROR(INDEX(G453:R453,1,MATCH(Parametres!$B$3,G$1:R$1,0)-1)*IF(OR(F453="L",F453="S",F453="I"),-1,1),"")</f>
        <v>0</v>
      </c>
      <c r="AM453" s="905">
        <f t="shared" si="44"/>
        <v>0</v>
      </c>
      <c r="AN453" s="905">
        <f>INDEX(G453:R453,1,MATCH(Parametres!$B$3,G$1:R$1,0))*IF(OR(F453="L",F453="S",F453="I"),-1,1)</f>
        <v>0</v>
      </c>
      <c r="AO453" s="487" t="str">
        <f>+VLOOKUP($AJ453,Data_Validation!$A:$D,1,0)</f>
        <v>G32102</v>
      </c>
      <c r="AP453" s="487">
        <f>+VLOOKUP($AJ453,Data_Validation!$A:$D,3,0)</f>
        <v>0</v>
      </c>
      <c r="AQ453" s="487">
        <f>+VLOOKUP($AJ453,Data_Validation!$A:$D,4,0)</f>
        <v>0</v>
      </c>
      <c r="AR453" s="487" t="s">
        <v>299</v>
      </c>
      <c r="AS453" s="487">
        <f>+VLOOKUP($AJ453,Data_Validation!$A:$E,5,0)</f>
        <v>0</v>
      </c>
      <c r="AT453" s="904" t="str">
        <f t="shared" si="45"/>
        <v>G32102</v>
      </c>
      <c r="AU453" s="488" t="str">
        <f t="shared" si="46"/>
        <v>SALAIRES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customHeight="1">
      <c r="A454" s="706" t="s">
        <v>1147</v>
      </c>
      <c r="B454" s="706">
        <v>2025</v>
      </c>
      <c r="C454" s="706" t="s">
        <v>2099</v>
      </c>
      <c r="D454" s="706" t="s">
        <v>2100</v>
      </c>
      <c r="E454" s="706" t="s">
        <v>333</v>
      </c>
      <c r="F454" s="706" t="s">
        <v>1134</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G32301</v>
      </c>
      <c r="AK454" s="905" t="str">
        <f t="shared" si="43"/>
        <v>REER COLLECTIF A PAYER</v>
      </c>
      <c r="AL454" s="905">
        <f>IFERROR(INDEX(G454:R454,1,MATCH(Parametres!$B$3,G$1:R$1,0)-1)*IF(OR(F454="L",F454="S",F454="I"),-1,1),"")</f>
        <v>0</v>
      </c>
      <c r="AM454" s="905">
        <f t="shared" si="44"/>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t="str">
        <f t="shared" si="45"/>
        <v>G32301</v>
      </c>
      <c r="AU454" s="488" t="str">
        <f t="shared" si="46"/>
        <v>REER COLLECTIF A PAYER</v>
      </c>
      <c r="AV454" s="899">
        <f>IFERROR(INDEX(V454:AG454,1,MATCH(Parametres!$B$3,V$1:AG$1,0)-1)*IF(OR(C454="L",C454="S",C454="I"),-1,1),"")</f>
        <v>0</v>
      </c>
      <c r="AW454" s="899">
        <f t="shared" si="47"/>
        <v>0</v>
      </c>
      <c r="AX454" s="899">
        <f>INDEX(V454:AG454,1,MATCH(Parametres!$B$3,V$1:AG$1,0))*IF(OR(C454="L",C454="S",C454="I"),-1,1)</f>
        <v>0</v>
      </c>
      <c r="AY454" s="487" t="s">
        <v>337</v>
      </c>
      <c r="AZ454" s="487" t="e">
        <f>+VLOOKUP($AJ454,Data_Validation!$A:$E,5,0)</f>
        <v>#N/A</v>
      </c>
    </row>
    <row r="455" spans="1:52" ht="15" customHeight="1">
      <c r="A455" s="706" t="s">
        <v>1147</v>
      </c>
      <c r="B455" s="706">
        <v>2025</v>
      </c>
      <c r="C455" s="706" t="s">
        <v>2101</v>
      </c>
      <c r="D455" s="706" t="s">
        <v>2102</v>
      </c>
      <c r="E455" s="706" t="s">
        <v>333</v>
      </c>
      <c r="F455" s="706" t="s">
        <v>1134</v>
      </c>
      <c r="G455" s="706">
        <v>0</v>
      </c>
      <c r="H455" s="706">
        <v>0</v>
      </c>
      <c r="I455" s="706">
        <v>0</v>
      </c>
      <c r="J455" s="706">
        <v>0</v>
      </c>
      <c r="K455" s="706">
        <v>0</v>
      </c>
      <c r="L455" s="706">
        <v>0</v>
      </c>
      <c r="M455" s="706">
        <v>0</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G32302</v>
      </c>
      <c r="AK455" s="905" t="str">
        <f t="shared" si="43"/>
        <v>ASSURANCE CHOMAGE A PAYER</v>
      </c>
      <c r="AL455" s="905">
        <f>IFERROR(INDEX(G455:R455,1,MATCH(Parametres!$B$3,G$1:R$1,0)-1)*IF(OR(F455="L",F455="S",F455="I"),-1,1),"")</f>
        <v>0</v>
      </c>
      <c r="AM455" s="905">
        <f t="shared" si="44"/>
        <v>0</v>
      </c>
      <c r="AN455" s="905">
        <f>INDEX(G455:R455,1,MATCH(Parametres!$B$3,G$1:R$1,0))*IF(OR(F455="L",F455="S",F455="I"),-1,1)</f>
        <v>0</v>
      </c>
      <c r="AO455" s="487" t="str">
        <f>+VLOOKUP($AJ455,Data_Validation!$A:$D,1,0)</f>
        <v>G32302</v>
      </c>
      <c r="AP455" s="487">
        <f>+VLOOKUP($AJ455,Data_Validation!$A:$D,3,0)</f>
        <v>0</v>
      </c>
      <c r="AQ455" s="487">
        <f>+VLOOKUP($AJ455,Data_Validation!$A:$D,4,0)</f>
        <v>0</v>
      </c>
      <c r="AR455" s="487" t="s">
        <v>299</v>
      </c>
      <c r="AS455" s="487">
        <f>+VLOOKUP($AJ455,Data_Validation!$A:$E,5,0)</f>
        <v>0</v>
      </c>
      <c r="AT455" s="904" t="str">
        <f t="shared" si="45"/>
        <v>G32302</v>
      </c>
      <c r="AU455" s="488" t="str">
        <f t="shared" si="46"/>
        <v>ASSURANCE CHOMAGE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customHeight="1">
      <c r="A456" s="706" t="s">
        <v>1147</v>
      </c>
      <c r="B456" s="706">
        <v>2025</v>
      </c>
      <c r="C456" s="706" t="s">
        <v>2103</v>
      </c>
      <c r="D456" s="706" t="s">
        <v>2104</v>
      </c>
      <c r="E456" s="706" t="s">
        <v>333</v>
      </c>
      <c r="F456" s="706" t="s">
        <v>1134</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G32303</v>
      </c>
      <c r="AK456" s="905" t="str">
        <f t="shared" si="43"/>
        <v>DON CHARITE A PAYER CENTR</v>
      </c>
      <c r="AL456" s="905">
        <f>IFERROR(INDEX(G456:R456,1,MATCH(Parametres!$B$3,G$1:R$1,0)-1)*IF(OR(F456="L",F456="S",F456="I"),-1,1),"")</f>
        <v>0</v>
      </c>
      <c r="AM456" s="905">
        <f t="shared" si="44"/>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t="str">
        <f t="shared" si="45"/>
        <v>G32303</v>
      </c>
      <c r="AU456" s="488" t="str">
        <f t="shared" si="46"/>
        <v>DON CHARITE A PAYER CENTR</v>
      </c>
      <c r="AV456" s="899">
        <f>IFERROR(INDEX(V456:AG456,1,MATCH(Parametres!$B$3,V$1:AG$1,0)-1)*IF(OR(C456="L",C456="S",C456="I"),-1,1),"")</f>
        <v>0</v>
      </c>
      <c r="AW456" s="899">
        <f t="shared" si="47"/>
        <v>0</v>
      </c>
      <c r="AX456" s="899">
        <f>INDEX(V456:AG456,1,MATCH(Parametres!$B$3,V$1:AG$1,0))*IF(OR(C456="L",C456="S",C456="I"),-1,1)</f>
        <v>0</v>
      </c>
      <c r="AY456" s="487" t="s">
        <v>337</v>
      </c>
      <c r="AZ456" s="487" t="e">
        <f>+VLOOKUP($AJ456,Data_Validation!$A:$E,5,0)</f>
        <v>#N/A</v>
      </c>
    </row>
    <row r="457" spans="1:52" ht="15" hidden="1" customHeight="1">
      <c r="A457" s="706" t="s">
        <v>1147</v>
      </c>
      <c r="B457" s="706">
        <v>2025</v>
      </c>
      <c r="C457" s="706" t="s">
        <v>2105</v>
      </c>
      <c r="D457" s="706" t="s">
        <v>2106</v>
      </c>
      <c r="E457" s="706" t="s">
        <v>333</v>
      </c>
      <c r="F457" s="706" t="s">
        <v>1134</v>
      </c>
      <c r="G457" s="706">
        <v>-625347</v>
      </c>
      <c r="H457" s="706">
        <v>-625347</v>
      </c>
      <c r="I457" s="706">
        <v>-680404</v>
      </c>
      <c r="J457" s="706">
        <v>-735461</v>
      </c>
      <c r="K457" s="706">
        <v>-790518</v>
      </c>
      <c r="L457" s="706">
        <v>-247656.78</v>
      </c>
      <c r="M457" s="706">
        <v>-275719.78000000003</v>
      </c>
      <c r="N457" s="706">
        <v>-303782.78000000003</v>
      </c>
      <c r="O457" s="706">
        <v>-331845.78000000003</v>
      </c>
      <c r="P457" s="706">
        <v>-352845.78</v>
      </c>
      <c r="Q457" s="706">
        <v>-352845.78</v>
      </c>
      <c r="R457" s="706">
        <v>341422.22</v>
      </c>
      <c r="S457" s="706">
        <v>0</v>
      </c>
      <c r="T457" s="706">
        <v>0</v>
      </c>
      <c r="U457" s="706">
        <v>694268</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G32304</v>
      </c>
      <c r="AK457" s="905" t="str">
        <f t="shared" si="43"/>
        <v>IMPOT FEDERAL A PAYER</v>
      </c>
      <c r="AL457" s="905">
        <f>IFERROR(INDEX(G457:R457,1,MATCH(Parametres!$B$3,G$1:R$1,0)-1)*IF(OR(F457="L",F457="S",F457="I"),-1,1),"")</f>
        <v>352845.78</v>
      </c>
      <c r="AM457" s="905">
        <f t="shared" si="44"/>
        <v>-694268</v>
      </c>
      <c r="AN457" s="905">
        <f>INDEX(G457:R457,1,MATCH(Parametres!$B$3,G$1:R$1,0))*IF(OR(F457="L",F457="S",F457="I"),-1,1)</f>
        <v>-341422.22</v>
      </c>
      <c r="AO457" s="487" t="str">
        <f>+VLOOKUP($AJ457,Data_Validation!$A:$D,1,0)</f>
        <v>G32304</v>
      </c>
      <c r="AP457" s="487" t="str">
        <f>+VLOOKUP($AJ457,Data_Validation!$A:$D,3,0)</f>
        <v>Bilan</v>
      </c>
      <c r="AQ457" s="487" t="str">
        <f>+VLOOKUP($AJ457,Data_Validation!$A:$D,4,0)</f>
        <v>Frais Payés d'Avance</v>
      </c>
      <c r="AR457" s="487" t="s">
        <v>299</v>
      </c>
      <c r="AS457" s="487">
        <f>+VLOOKUP($AJ457,Data_Validation!$A:$E,5,0)</f>
        <v>0</v>
      </c>
      <c r="AT457" s="904" t="str">
        <f t="shared" si="45"/>
        <v>G32304</v>
      </c>
      <c r="AU457" s="488" t="str">
        <f t="shared" si="46"/>
        <v>IMPOT FEDERAL A PAYER</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customHeight="1">
      <c r="A458" s="706" t="s">
        <v>1147</v>
      </c>
      <c r="B458" s="706">
        <v>2025</v>
      </c>
      <c r="C458" s="706" t="s">
        <v>2107</v>
      </c>
      <c r="D458" s="706" t="s">
        <v>2108</v>
      </c>
      <c r="E458" s="706" t="s">
        <v>333</v>
      </c>
      <c r="F458" s="706" t="s">
        <v>1134</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G32305</v>
      </c>
      <c r="AK458" s="905" t="str">
        <f t="shared" si="43"/>
        <v>REGIME ASS. MALADIE PAYER</v>
      </c>
      <c r="AL458" s="905">
        <f>IFERROR(INDEX(G458:R458,1,MATCH(Parametres!$B$3,G$1:R$1,0)-1)*IF(OR(F458="L",F458="S",F458="I"),-1,1),"")</f>
        <v>0</v>
      </c>
      <c r="AM458" s="905">
        <f t="shared" si="44"/>
        <v>0</v>
      </c>
      <c r="AN458" s="905">
        <f>INDEX(G458:R458,1,MATCH(Parametres!$B$3,G$1:R$1,0))*IF(OR(F458="L",F458="S",F458="I"),-1,1)</f>
        <v>0</v>
      </c>
      <c r="AO458" s="487" t="str">
        <f>+VLOOKUP($AJ458,Data_Validation!$A:$D,1,0)</f>
        <v>G32305</v>
      </c>
      <c r="AP458" s="487">
        <f>+VLOOKUP($AJ458,Data_Validation!$A:$D,3,0)</f>
        <v>0</v>
      </c>
      <c r="AQ458" s="487">
        <f>+VLOOKUP($AJ458,Data_Validation!$A:$D,4,0)</f>
        <v>0</v>
      </c>
      <c r="AR458" s="487" t="s">
        <v>299</v>
      </c>
      <c r="AS458" s="487">
        <f>+VLOOKUP($AJ458,Data_Validation!$A:$E,5,0)</f>
        <v>0</v>
      </c>
      <c r="AT458" s="904" t="str">
        <f t="shared" si="45"/>
        <v>G32305</v>
      </c>
      <c r="AU458" s="488" t="str">
        <f t="shared" si="46"/>
        <v>REGIME ASS. MALADIE PAYER</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1147</v>
      </c>
      <c r="B459" s="706">
        <v>2025</v>
      </c>
      <c r="C459" s="706" t="s">
        <v>2109</v>
      </c>
      <c r="D459" s="706" t="s">
        <v>2110</v>
      </c>
      <c r="E459" s="706" t="s">
        <v>333</v>
      </c>
      <c r="F459" s="706" t="s">
        <v>1134</v>
      </c>
      <c r="G459" s="706">
        <v>-481372</v>
      </c>
      <c r="H459" s="706">
        <v>-519100</v>
      </c>
      <c r="I459" s="706">
        <v>-556828</v>
      </c>
      <c r="J459" s="706">
        <v>-594556</v>
      </c>
      <c r="K459" s="706">
        <v>-632284</v>
      </c>
      <c r="L459" s="706">
        <v>-320763.73</v>
      </c>
      <c r="M459" s="706">
        <v>-342265.73</v>
      </c>
      <c r="N459" s="706">
        <v>-342265.73</v>
      </c>
      <c r="O459" s="706">
        <v>-342265.73</v>
      </c>
      <c r="P459" s="706">
        <v>-363265.73</v>
      </c>
      <c r="Q459" s="706">
        <v>-363265.73</v>
      </c>
      <c r="R459" s="706">
        <v>171893.27000000002</v>
      </c>
      <c r="S459" s="706">
        <v>0</v>
      </c>
      <c r="T459" s="706">
        <v>0</v>
      </c>
      <c r="U459" s="706">
        <v>535159</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G32306</v>
      </c>
      <c r="AK459" s="905" t="str">
        <f t="shared" si="43"/>
        <v>IMPOT PROVINCIAL A PAYER</v>
      </c>
      <c r="AL459" s="905">
        <f>IFERROR(INDEX(G459:R459,1,MATCH(Parametres!$B$3,G$1:R$1,0)-1)*IF(OR(F459="L",F459="S",F459="I"),-1,1),"")</f>
        <v>363265.73</v>
      </c>
      <c r="AM459" s="905">
        <f t="shared" si="44"/>
        <v>-535159</v>
      </c>
      <c r="AN459" s="905">
        <f>INDEX(G459:R459,1,MATCH(Parametres!$B$3,G$1:R$1,0))*IF(OR(F459="L",F459="S",F459="I"),-1,1)</f>
        <v>-171893.27000000002</v>
      </c>
      <c r="AO459" s="487" t="str">
        <f>+VLOOKUP($AJ459,Data_Validation!$A:$D,1,0)</f>
        <v>G32306</v>
      </c>
      <c r="AP459" s="487" t="str">
        <f>+VLOOKUP($AJ459,Data_Validation!$A:$D,3,0)</f>
        <v>Bilan</v>
      </c>
      <c r="AQ459" s="487" t="str">
        <f>+VLOOKUP($AJ459,Data_Validation!$A:$D,4,0)</f>
        <v>Frais Payés d'Avance</v>
      </c>
      <c r="AR459" s="487" t="s">
        <v>299</v>
      </c>
      <c r="AS459" s="487">
        <f>+VLOOKUP($AJ459,Data_Validation!$A:$E,5,0)</f>
        <v>0</v>
      </c>
      <c r="AT459" s="904" t="str">
        <f t="shared" si="45"/>
        <v>G32306</v>
      </c>
      <c r="AU459" s="488" t="str">
        <f t="shared" si="46"/>
        <v>IMPOT PROVINCIAL A PAYER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customHeight="1">
      <c r="A460" s="706" t="s">
        <v>1147</v>
      </c>
      <c r="B460" s="706">
        <v>2025</v>
      </c>
      <c r="C460" s="706" t="s">
        <v>2111</v>
      </c>
      <c r="D460" s="706" t="s">
        <v>2112</v>
      </c>
      <c r="E460" s="706" t="s">
        <v>333</v>
      </c>
      <c r="F460" s="706" t="s">
        <v>1134</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G32307</v>
      </c>
      <c r="AK460" s="905" t="str">
        <f t="shared" si="43"/>
        <v>REGIME DES RENTES QUEBEC</v>
      </c>
      <c r="AL460" s="905">
        <f>IFERROR(INDEX(G460:R460,1,MATCH(Parametres!$B$3,G$1:R$1,0)-1)*IF(OR(F460="L",F460="S",F460="I"),-1,1),"")</f>
        <v>0</v>
      </c>
      <c r="AM460" s="905">
        <f t="shared" si="44"/>
        <v>0</v>
      </c>
      <c r="AN460" s="905">
        <f>INDEX(G460:R460,1,MATCH(Parametres!$B$3,G$1:R$1,0))*IF(OR(F460="L",F460="S",F460="I"),-1,1)</f>
        <v>0</v>
      </c>
      <c r="AO460" s="487" t="str">
        <f>+VLOOKUP($AJ460,Data_Validation!$A:$D,1,0)</f>
        <v>G32307</v>
      </c>
      <c r="AP460" s="487">
        <f>+VLOOKUP($AJ460,Data_Validation!$A:$D,3,0)</f>
        <v>0</v>
      </c>
      <c r="AQ460" s="487">
        <f>+VLOOKUP($AJ460,Data_Validation!$A:$D,4,0)</f>
        <v>0</v>
      </c>
      <c r="AR460" s="487" t="s">
        <v>299</v>
      </c>
      <c r="AS460" s="487">
        <f>+VLOOKUP($AJ460,Data_Validation!$A:$E,5,0)</f>
        <v>0</v>
      </c>
      <c r="AT460" s="904" t="str">
        <f t="shared" si="45"/>
        <v>G32307</v>
      </c>
      <c r="AU460" s="488" t="str">
        <f t="shared" si="46"/>
        <v>REGIME DES RENTES QUEBEC</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customHeight="1">
      <c r="A461" s="706" t="s">
        <v>1147</v>
      </c>
      <c r="B461" s="706">
        <v>2025</v>
      </c>
      <c r="C461" s="706" t="s">
        <v>2113</v>
      </c>
      <c r="D461" s="706" t="s">
        <v>2114</v>
      </c>
      <c r="E461" s="706" t="s">
        <v>333</v>
      </c>
      <c r="F461" s="706" t="s">
        <v>1134</v>
      </c>
      <c r="G461" s="706">
        <v>0</v>
      </c>
      <c r="H461" s="706">
        <v>0</v>
      </c>
      <c r="I461" s="706">
        <v>0</v>
      </c>
      <c r="J461" s="706">
        <v>0</v>
      </c>
      <c r="K461" s="706">
        <v>0</v>
      </c>
      <c r="L461" s="706">
        <v>0</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G32308</v>
      </c>
      <c r="AK461" s="905" t="str">
        <f t="shared" si="43"/>
        <v>COTISATIONS COMITE EMPLOY</v>
      </c>
      <c r="AL461" s="905">
        <f>IFERROR(INDEX(G461:R461,1,MATCH(Parametres!$B$3,G$1:R$1,0)-1)*IF(OR(F461="L",F461="S",F461="I"),-1,1),"")</f>
        <v>0</v>
      </c>
      <c r="AM461" s="905">
        <f t="shared" si="44"/>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t="str">
        <f t="shared" si="45"/>
        <v>G32308</v>
      </c>
      <c r="AU461" s="488" t="str">
        <f t="shared" si="46"/>
        <v>COTISATIONS COMITE EMPLOY</v>
      </c>
      <c r="AV461" s="899">
        <f>IFERROR(INDEX(V461:AG461,1,MATCH(Parametres!$B$3,V$1:AG$1,0)-1)*IF(OR(C461="L",C461="S",C461="I"),-1,1),"")</f>
        <v>0</v>
      </c>
      <c r="AW461" s="899">
        <f t="shared" si="47"/>
        <v>0</v>
      </c>
      <c r="AX461" s="899">
        <f>INDEX(V461:AG461,1,MATCH(Parametres!$B$3,V$1:AG$1,0))*IF(OR(C461="L",C461="S",C461="I"),-1,1)</f>
        <v>0</v>
      </c>
      <c r="AY461" s="487" t="s">
        <v>337</v>
      </c>
      <c r="AZ461" s="487" t="e">
        <f>+VLOOKUP($AJ461,Data_Validation!$A:$E,5,0)</f>
        <v>#N/A</v>
      </c>
    </row>
    <row r="462" spans="1:52" ht="15" customHeight="1">
      <c r="A462" s="706" t="s">
        <v>1147</v>
      </c>
      <c r="B462" s="706">
        <v>2025</v>
      </c>
      <c r="C462" s="706" t="s">
        <v>2115</v>
      </c>
      <c r="D462" s="706" t="s">
        <v>2116</v>
      </c>
      <c r="E462" s="706" t="s">
        <v>333</v>
      </c>
      <c r="F462" s="706" t="s">
        <v>1134</v>
      </c>
      <c r="G462" s="706">
        <v>0</v>
      </c>
      <c r="H462" s="706">
        <v>0</v>
      </c>
      <c r="I462" s="706">
        <v>0</v>
      </c>
      <c r="J462" s="706">
        <v>0</v>
      </c>
      <c r="K462" s="706">
        <v>0</v>
      </c>
      <c r="L462" s="706">
        <v>0</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G32309</v>
      </c>
      <c r="AK462" s="905" t="str">
        <f t="shared" si="43"/>
        <v>FONDS PENSION EMPLOYES</v>
      </c>
      <c r="AL462" s="905">
        <f>IFERROR(INDEX(G462:R462,1,MATCH(Parametres!$B$3,G$1:R$1,0)-1)*IF(OR(F462="L",F462="S",F462="I"),-1,1),"")</f>
        <v>0</v>
      </c>
      <c r="AM462" s="905">
        <f t="shared" si="44"/>
        <v>0</v>
      </c>
      <c r="AN462" s="905">
        <f>INDEX(G462:R462,1,MATCH(Parametres!$B$3,G$1:R$1,0))*IF(OR(F462="L",F462="S",F462="I"),-1,1)</f>
        <v>0</v>
      </c>
      <c r="AO462" s="487" t="str">
        <f>+VLOOKUP($AJ462,Data_Validation!$A:$D,1,0)</f>
        <v>G32309</v>
      </c>
      <c r="AP462" s="487">
        <f>+VLOOKUP($AJ462,Data_Validation!$A:$D,3,0)</f>
        <v>0</v>
      </c>
      <c r="AQ462" s="487">
        <f>+VLOOKUP($AJ462,Data_Validation!$A:$D,4,0)</f>
        <v>0</v>
      </c>
      <c r="AR462" s="487" t="s">
        <v>299</v>
      </c>
      <c r="AS462" s="487">
        <f>+VLOOKUP($AJ462,Data_Validation!$A:$E,5,0)</f>
        <v>0</v>
      </c>
      <c r="AT462" s="904" t="str">
        <f t="shared" si="45"/>
        <v>G32309</v>
      </c>
      <c r="AU462" s="488" t="str">
        <f t="shared" si="46"/>
        <v>FONDS PENSION EMPLOYES</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customHeight="1">
      <c r="A463" s="706" t="s">
        <v>1147</v>
      </c>
      <c r="B463" s="706">
        <v>2025</v>
      </c>
      <c r="C463" s="706" t="s">
        <v>2117</v>
      </c>
      <c r="D463" s="706" t="s">
        <v>2118</v>
      </c>
      <c r="E463" s="706" t="s">
        <v>333</v>
      </c>
      <c r="F463" s="706" t="s">
        <v>1134</v>
      </c>
      <c r="G463" s="706">
        <v>0</v>
      </c>
      <c r="H463" s="706">
        <v>0</v>
      </c>
      <c r="I463" s="706">
        <v>0</v>
      </c>
      <c r="J463" s="706">
        <v>0</v>
      </c>
      <c r="K463" s="706">
        <v>0</v>
      </c>
      <c r="L463" s="706">
        <v>0</v>
      </c>
      <c r="M463" s="706">
        <v>0</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G32310</v>
      </c>
      <c r="AK463" s="905" t="str">
        <f t="shared" si="43"/>
        <v>FONDS PENSION EMPLOYEUR</v>
      </c>
      <c r="AL463" s="905">
        <f>IFERROR(INDEX(G463:R463,1,MATCH(Parametres!$B$3,G$1:R$1,0)-1)*IF(OR(F463="L",F463="S",F463="I"),-1,1),"")</f>
        <v>0</v>
      </c>
      <c r="AM463" s="905">
        <f t="shared" si="44"/>
        <v>0</v>
      </c>
      <c r="AN463" s="905">
        <f>INDEX(G463:R463,1,MATCH(Parametres!$B$3,G$1:R$1,0))*IF(OR(F463="L",F463="S",F463="I"),-1,1)</f>
        <v>0</v>
      </c>
      <c r="AO463" s="487" t="str">
        <f>+VLOOKUP($AJ463,Data_Validation!$A:$D,1,0)</f>
        <v>G32310</v>
      </c>
      <c r="AP463" s="487">
        <f>+VLOOKUP($AJ463,Data_Validation!$A:$D,3,0)</f>
        <v>0</v>
      </c>
      <c r="AQ463" s="487">
        <f>+VLOOKUP($AJ463,Data_Validation!$A:$D,4,0)</f>
        <v>0</v>
      </c>
      <c r="AR463" s="487" t="s">
        <v>299</v>
      </c>
      <c r="AS463" s="487">
        <f>+VLOOKUP($AJ463,Data_Validation!$A:$E,5,0)</f>
        <v>0</v>
      </c>
      <c r="AT463" s="904" t="str">
        <f t="shared" si="45"/>
        <v>G32310</v>
      </c>
      <c r="AU463" s="488" t="str">
        <f t="shared" si="46"/>
        <v>FONDS PENSION EMPLOYEUR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customHeight="1">
      <c r="A464" s="706" t="s">
        <v>1147</v>
      </c>
      <c r="B464" s="706">
        <v>2025</v>
      </c>
      <c r="C464" s="706" t="s">
        <v>2119</v>
      </c>
      <c r="D464" s="706" t="s">
        <v>2120</v>
      </c>
      <c r="E464" s="706" t="s">
        <v>333</v>
      </c>
      <c r="F464" s="706" t="s">
        <v>1134</v>
      </c>
      <c r="G464" s="706">
        <v>0</v>
      </c>
      <c r="H464" s="706">
        <v>0</v>
      </c>
      <c r="I464" s="706">
        <v>0</v>
      </c>
      <c r="J464" s="706">
        <v>0</v>
      </c>
      <c r="K464" s="706">
        <v>0</v>
      </c>
      <c r="L464" s="706">
        <v>0</v>
      </c>
      <c r="M464" s="706">
        <v>0</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G32311</v>
      </c>
      <c r="AK464" s="905" t="str">
        <f t="shared" si="43"/>
        <v>RQAP A PAYER</v>
      </c>
      <c r="AL464" s="905">
        <f>IFERROR(INDEX(G464:R464,1,MATCH(Parametres!$B$3,G$1:R$1,0)-1)*IF(OR(F464="L",F464="S",F464="I"),-1,1),"")</f>
        <v>0</v>
      </c>
      <c r="AM464" s="905">
        <f t="shared" si="44"/>
        <v>0</v>
      </c>
      <c r="AN464" s="905">
        <f>INDEX(G464:R464,1,MATCH(Parametres!$B$3,G$1:R$1,0))*IF(OR(F464="L",F464="S",F464="I"),-1,1)</f>
        <v>0</v>
      </c>
      <c r="AO464" s="487" t="str">
        <f>+VLOOKUP($AJ464,Data_Validation!$A:$D,1,0)</f>
        <v>G32311</v>
      </c>
      <c r="AP464" s="487">
        <f>+VLOOKUP($AJ464,Data_Validation!$A:$D,3,0)</f>
        <v>0</v>
      </c>
      <c r="AQ464" s="487">
        <f>+VLOOKUP($AJ464,Data_Validation!$A:$D,4,0)</f>
        <v>0</v>
      </c>
      <c r="AR464" s="487" t="s">
        <v>299</v>
      </c>
      <c r="AS464" s="487">
        <f>+VLOOKUP($AJ464,Data_Validation!$A:$E,5,0)</f>
        <v>0</v>
      </c>
      <c r="AT464" s="904" t="str">
        <f t="shared" si="45"/>
        <v>G32311</v>
      </c>
      <c r="AU464" s="488" t="str">
        <f t="shared" si="46"/>
        <v>RQAP A PAYER</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1147</v>
      </c>
      <c r="B465" s="706">
        <v>2025</v>
      </c>
      <c r="C465" s="706" t="s">
        <v>2121</v>
      </c>
      <c r="D465" s="706" t="s">
        <v>2122</v>
      </c>
      <c r="E465" s="706" t="s">
        <v>333</v>
      </c>
      <c r="F465" s="706" t="s">
        <v>1134</v>
      </c>
      <c r="G465" s="706">
        <v>2959.71</v>
      </c>
      <c r="H465" s="706">
        <v>3191.18</v>
      </c>
      <c r="I465" s="706">
        <v>3313.65</v>
      </c>
      <c r="J465" s="706">
        <v>3791.56</v>
      </c>
      <c r="K465" s="706">
        <v>4010.14</v>
      </c>
      <c r="L465" s="706">
        <v>4240.1099999999997</v>
      </c>
      <c r="M465" s="706">
        <v>4454.95</v>
      </c>
      <c r="N465" s="706">
        <v>4666.7700000000004</v>
      </c>
      <c r="O465" s="706">
        <v>4863.3500000000004</v>
      </c>
      <c r="P465" s="706">
        <v>5148.26</v>
      </c>
      <c r="Q465" s="706">
        <v>3046.34</v>
      </c>
      <c r="R465" s="706">
        <v>3263.19</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G32312</v>
      </c>
      <c r="AK465" s="905" t="str">
        <f t="shared" si="43"/>
        <v>CSST A PAYER</v>
      </c>
      <c r="AL465" s="905">
        <f>IFERROR(INDEX(G465:R465,1,MATCH(Parametres!$B$3,G$1:R$1,0)-1)*IF(OR(F465="L",F465="S",F465="I"),-1,1),"")</f>
        <v>-3046.34</v>
      </c>
      <c r="AM465" s="905">
        <f t="shared" si="44"/>
        <v>-216.84999999999991</v>
      </c>
      <c r="AN465" s="905">
        <f>INDEX(G465:R465,1,MATCH(Parametres!$B$3,G$1:R$1,0))*IF(OR(F465="L",F465="S",F465="I"),-1,1)</f>
        <v>-3263.19</v>
      </c>
      <c r="AO465" s="487" t="str">
        <f>+VLOOKUP($AJ465,Data_Validation!$A:$D,1,0)</f>
        <v>G32312</v>
      </c>
      <c r="AP465" s="487" t="str">
        <f>+VLOOKUP($AJ465,Data_Validation!$A:$D,3,0)</f>
        <v>Bilan</v>
      </c>
      <c r="AQ465" s="487" t="str">
        <f>+VLOOKUP($AJ465,Data_Validation!$A:$D,4,0)</f>
        <v>DAS à Payer</v>
      </c>
      <c r="AR465" s="487" t="s">
        <v>299</v>
      </c>
      <c r="AS465" s="487">
        <f>+VLOOKUP($AJ465,Data_Validation!$A:$E,5,0)</f>
        <v>0</v>
      </c>
      <c r="AT465" s="904" t="str">
        <f t="shared" si="45"/>
        <v>G32312</v>
      </c>
      <c r="AU465" s="488" t="str">
        <f t="shared" si="46"/>
        <v>CSST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1147</v>
      </c>
      <c r="B466" s="706">
        <v>2025</v>
      </c>
      <c r="C466" s="706" t="s">
        <v>2123</v>
      </c>
      <c r="D466" s="706" t="s">
        <v>2124</v>
      </c>
      <c r="E466" s="706" t="s">
        <v>333</v>
      </c>
      <c r="F466" s="706" t="s">
        <v>1134</v>
      </c>
      <c r="G466" s="706">
        <v>110902.86</v>
      </c>
      <c r="H466" s="706">
        <v>116971.18</v>
      </c>
      <c r="I466" s="706">
        <v>180819.98</v>
      </c>
      <c r="J466" s="706">
        <v>103781.56</v>
      </c>
      <c r="K466" s="706">
        <v>137697.79999999999</v>
      </c>
      <c r="L466" s="706">
        <v>168165.46</v>
      </c>
      <c r="M466" s="706">
        <v>118667.89</v>
      </c>
      <c r="N466" s="706">
        <v>120489.24</v>
      </c>
      <c r="O466" s="706">
        <v>148209.82</v>
      </c>
      <c r="P466" s="706">
        <v>134561.35</v>
      </c>
      <c r="Q466" s="706">
        <v>102538.03</v>
      </c>
      <c r="R466" s="706">
        <v>81387.850000000006</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G32400</v>
      </c>
      <c r="AK466" s="905" t="str">
        <f t="shared" si="43"/>
        <v>TAXES DE VENTES A PAYER</v>
      </c>
      <c r="AL466" s="905">
        <f>IFERROR(INDEX(G466:R466,1,MATCH(Parametres!$B$3,G$1:R$1,0)-1)*IF(OR(F466="L",F466="S",F466="I"),-1,1),"")</f>
        <v>-102538.03</v>
      </c>
      <c r="AM466" s="905">
        <f t="shared" si="44"/>
        <v>21150.179999999993</v>
      </c>
      <c r="AN466" s="905">
        <f>INDEX(G466:R466,1,MATCH(Parametres!$B$3,G$1:R$1,0))*IF(OR(F466="L",F466="S",F466="I"),-1,1)</f>
        <v>-81387.850000000006</v>
      </c>
      <c r="AO466" s="487" t="str">
        <f>+VLOOKUP($AJ466,Data_Validation!$A:$D,1,0)</f>
        <v>G32400</v>
      </c>
      <c r="AP466" s="487" t="str">
        <f>+VLOOKUP($AJ466,Data_Validation!$A:$D,3,0)</f>
        <v>Bilan</v>
      </c>
      <c r="AQ466" s="487" t="str">
        <f>+VLOOKUP($AJ466,Data_Validation!$A:$D,4,0)</f>
        <v>Taxes de Vente à Payer</v>
      </c>
      <c r="AR466" s="487" t="s">
        <v>299</v>
      </c>
      <c r="AS466" s="487">
        <f>+VLOOKUP($AJ466,Data_Validation!$A:$E,5,0)</f>
        <v>0</v>
      </c>
      <c r="AT466" s="904" t="str">
        <f t="shared" si="45"/>
        <v>G32400</v>
      </c>
      <c r="AU466" s="488" t="str">
        <f t="shared" si="46"/>
        <v>TAXES DE VENTES A PAYER</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1147</v>
      </c>
      <c r="B467" s="706">
        <v>2025</v>
      </c>
      <c r="C467" s="706" t="s">
        <v>2125</v>
      </c>
      <c r="D467" s="706" t="s">
        <v>2126</v>
      </c>
      <c r="E467" s="706" t="s">
        <v>333</v>
      </c>
      <c r="F467" s="706" t="s">
        <v>1134</v>
      </c>
      <c r="G467" s="706">
        <v>678350.17</v>
      </c>
      <c r="H467" s="706">
        <v>713378.24</v>
      </c>
      <c r="I467" s="706">
        <v>1217871.8600000001</v>
      </c>
      <c r="J467" s="706">
        <v>1297248.3400000001</v>
      </c>
      <c r="K467" s="706">
        <v>1200171.82</v>
      </c>
      <c r="L467" s="706">
        <v>1270210.3</v>
      </c>
      <c r="M467" s="706">
        <v>911450.27</v>
      </c>
      <c r="N467" s="706">
        <v>896866.9</v>
      </c>
      <c r="O467" s="706">
        <v>989132.99</v>
      </c>
      <c r="P467" s="706">
        <v>1102803.3400000001</v>
      </c>
      <c r="Q467" s="706">
        <v>1348444.27</v>
      </c>
      <c r="R467" s="706">
        <v>1013832.88</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G32401</v>
      </c>
      <c r="AK467" s="905" t="str">
        <f t="shared" ref="AK467:AK530" si="49">D467</f>
        <v>T.P.S. A PAYER</v>
      </c>
      <c r="AL467" s="905">
        <f>IFERROR(INDEX(G467:R467,1,MATCH(Parametres!$B$3,G$1:R$1,0)-1)*IF(OR(F467="L",F467="S",F467="I"),-1,1),"")</f>
        <v>-1348444.27</v>
      </c>
      <c r="AM467" s="905">
        <f t="shared" si="44"/>
        <v>334611.39</v>
      </c>
      <c r="AN467" s="905">
        <f>INDEX(G467:R467,1,MATCH(Parametres!$B$3,G$1:R$1,0))*IF(OR(F467="L",F467="S",F467="I"),-1,1)</f>
        <v>-1013832.88</v>
      </c>
      <c r="AO467" s="487" t="str">
        <f>+VLOOKUP($AJ467,Data_Validation!$A:$D,1,0)</f>
        <v>G32401</v>
      </c>
      <c r="AP467" s="487" t="str">
        <f>+VLOOKUP($AJ467,Data_Validation!$A:$D,3,0)</f>
        <v>Bilan</v>
      </c>
      <c r="AQ467" s="487" t="str">
        <f>+VLOOKUP($AJ467,Data_Validation!$A:$D,4,0)</f>
        <v>Taxes de Vente à Payer</v>
      </c>
      <c r="AR467" s="487" t="s">
        <v>299</v>
      </c>
      <c r="AS467" s="487">
        <f>+VLOOKUP($AJ467,Data_Validation!$A:$E,5,0)</f>
        <v>0</v>
      </c>
      <c r="AT467" s="904" t="str">
        <f t="shared" si="45"/>
        <v>G32401</v>
      </c>
      <c r="AU467" s="488" t="str">
        <f t="shared" si="46"/>
        <v>T.P.S. A PAYER</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1147</v>
      </c>
      <c r="B468" s="706">
        <v>2025</v>
      </c>
      <c r="C468" s="706" t="s">
        <v>2127</v>
      </c>
      <c r="D468" s="706" t="s">
        <v>2128</v>
      </c>
      <c r="E468" s="706" t="s">
        <v>333</v>
      </c>
      <c r="F468" s="706" t="s">
        <v>1134</v>
      </c>
      <c r="G468" s="706">
        <v>1460.79</v>
      </c>
      <c r="H468" s="706">
        <v>1782.54</v>
      </c>
      <c r="I468" s="706">
        <v>729.09</v>
      </c>
      <c r="J468" s="706">
        <v>375.93</v>
      </c>
      <c r="K468" s="706">
        <v>753.66</v>
      </c>
      <c r="L468" s="706">
        <v>610.91999999999996</v>
      </c>
      <c r="M468" s="706">
        <v>300.33</v>
      </c>
      <c r="N468" s="706">
        <v>1250.55</v>
      </c>
      <c r="O468" s="706">
        <v>1319.04</v>
      </c>
      <c r="P468" s="706">
        <v>2215.98</v>
      </c>
      <c r="Q468" s="706">
        <v>1615.77</v>
      </c>
      <c r="R468" s="706">
        <v>1452.6</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G32402</v>
      </c>
      <c r="AK468" s="905" t="str">
        <f t="shared" si="49"/>
        <v>TPA ASSURANCES</v>
      </c>
      <c r="AL468" s="905">
        <f>IFERROR(INDEX(G468:R468,1,MATCH(Parametres!$B$3,G$1:R$1,0)-1)*IF(OR(F468="L",F468="S",F468="I"),-1,1),"")</f>
        <v>-1615.77</v>
      </c>
      <c r="AM468" s="905">
        <f t="shared" si="44"/>
        <v>163.17000000000007</v>
      </c>
      <c r="AN468" s="905">
        <f>INDEX(G468:R468,1,MATCH(Parametres!$B$3,G$1:R$1,0))*IF(OR(F468="L",F468="S",F468="I"),-1,1)</f>
        <v>-1452.6</v>
      </c>
      <c r="AO468" s="487" t="str">
        <f>+VLOOKUP($AJ468,Data_Validation!$A:$D,1,0)</f>
        <v>G32402</v>
      </c>
      <c r="AP468" s="487" t="str">
        <f>+VLOOKUP($AJ468,Data_Validation!$A:$D,3,0)</f>
        <v>Bilan</v>
      </c>
      <c r="AQ468" s="487" t="str">
        <f>+VLOOKUP($AJ468,Data_Validation!$A:$D,4,0)</f>
        <v>Taxes de Vente à Payer</v>
      </c>
      <c r="AR468" s="487" t="s">
        <v>299</v>
      </c>
      <c r="AS468" s="487">
        <f>+VLOOKUP($AJ468,Data_Validation!$A:$E,5,0)</f>
        <v>0</v>
      </c>
      <c r="AT468" s="904" t="str">
        <f t="shared" si="45"/>
        <v>G32402</v>
      </c>
      <c r="AU468" s="488" t="str">
        <f t="shared" si="46"/>
        <v>TPA ASSURANCES</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1147</v>
      </c>
      <c r="B469" s="706">
        <v>2025</v>
      </c>
      <c r="C469" s="706" t="s">
        <v>2129</v>
      </c>
      <c r="D469" s="706" t="s">
        <v>2130</v>
      </c>
      <c r="E469" s="706" t="s">
        <v>333</v>
      </c>
      <c r="F469" s="706" t="s">
        <v>1134</v>
      </c>
      <c r="G469" s="706">
        <v>0</v>
      </c>
      <c r="H469" s="706">
        <v>0</v>
      </c>
      <c r="I469" s="706">
        <v>7644.46</v>
      </c>
      <c r="J469" s="706">
        <v>15922.08</v>
      </c>
      <c r="K469" s="706">
        <v>16792.439999999999</v>
      </c>
      <c r="L469" s="706">
        <v>21695.33</v>
      </c>
      <c r="M469" s="706">
        <v>755.23</v>
      </c>
      <c r="N469" s="706">
        <v>5629.44</v>
      </c>
      <c r="O469" s="706">
        <v>10609.64</v>
      </c>
      <c r="P469" s="706">
        <v>19955.41</v>
      </c>
      <c r="Q469" s="706">
        <v>29587.439999999999</v>
      </c>
      <c r="R469" s="706">
        <v>43912.480000000003</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G32500</v>
      </c>
      <c r="AK469" s="905" t="str">
        <f t="shared" si="49"/>
        <v>TAXE DELUXE A PAYER</v>
      </c>
      <c r="AL469" s="905">
        <f>IFERROR(INDEX(G469:R469,1,MATCH(Parametres!$B$3,G$1:R$1,0)-1)*IF(OR(F469="L",F469="S",F469="I"),-1,1),"")</f>
        <v>-29587.439999999999</v>
      </c>
      <c r="AM469" s="905">
        <f t="shared" si="44"/>
        <v>-14325.040000000005</v>
      </c>
      <c r="AN469" s="905">
        <f>INDEX(G469:R469,1,MATCH(Parametres!$B$3,G$1:R$1,0))*IF(OR(F469="L",F469="S",F469="I"),-1,1)</f>
        <v>-43912.480000000003</v>
      </c>
      <c r="AO469" s="487" t="str">
        <f>+VLOOKUP($AJ469,Data_Validation!$A:$D,1,0)</f>
        <v>G32500</v>
      </c>
      <c r="AP469" s="487" t="str">
        <f>+VLOOKUP($AJ469,Data_Validation!$A:$D,3,0)</f>
        <v>Bilan</v>
      </c>
      <c r="AQ469" s="487" t="str">
        <f>+VLOOKUP($AJ469,Data_Validation!$A:$D,4,0)</f>
        <v>Taxes de Vente à Payer</v>
      </c>
      <c r="AR469" s="487" t="s">
        <v>299</v>
      </c>
      <c r="AS469" s="487">
        <f>+VLOOKUP($AJ469,Data_Validation!$A:$E,5,0)</f>
        <v>0</v>
      </c>
      <c r="AT469" s="904" t="str">
        <f t="shared" si="45"/>
        <v>G32500</v>
      </c>
      <c r="AU469" s="488" t="str">
        <f t="shared" si="46"/>
        <v>TAXE DELUXE A PAYER</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1147</v>
      </c>
      <c r="B470" s="706">
        <v>2025</v>
      </c>
      <c r="C470" s="706" t="s">
        <v>2131</v>
      </c>
      <c r="D470" s="706" t="s">
        <v>1153</v>
      </c>
      <c r="E470" s="706" t="s">
        <v>333</v>
      </c>
      <c r="F470" s="706" t="s">
        <v>1134</v>
      </c>
      <c r="G470" s="706">
        <v>171553.27</v>
      </c>
      <c r="H470" s="706">
        <v>171553.27</v>
      </c>
      <c r="I470" s="706">
        <v>171553.27</v>
      </c>
      <c r="J470" s="706">
        <v>171553.27</v>
      </c>
      <c r="K470" s="706">
        <v>107129.27</v>
      </c>
      <c r="L470" s="706">
        <v>-64424</v>
      </c>
      <c r="M470" s="706">
        <v>0</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G32700</v>
      </c>
      <c r="AK470" s="905" t="str">
        <f t="shared" si="49"/>
        <v>IMPÔTS EXIGIBLES</v>
      </c>
      <c r="AL470" s="905">
        <f>IFERROR(INDEX(G470:R470,1,MATCH(Parametres!$B$3,G$1:R$1,0)-1)*IF(OR(F470="L",F470="S",F470="I"),-1,1),"")</f>
        <v>0</v>
      </c>
      <c r="AM470" s="905">
        <f t="shared" si="44"/>
        <v>0</v>
      </c>
      <c r="AN470" s="905">
        <f>INDEX(G470:R470,1,MATCH(Parametres!$B$3,G$1:R$1,0))*IF(OR(F470="L",F470="S",F470="I"),-1,1)</f>
        <v>0</v>
      </c>
      <c r="AO470" s="487" t="str">
        <f>+VLOOKUP($AJ470,Data_Validation!$A:$D,1,0)</f>
        <v>G32700</v>
      </c>
      <c r="AP470" s="487" t="str">
        <f>+VLOOKUP($AJ470,Data_Validation!$A:$D,3,0)</f>
        <v>Bilan</v>
      </c>
      <c r="AQ470" s="487" t="str">
        <f>+VLOOKUP($AJ470,Data_Validation!$A:$D,4,0)</f>
        <v>Impôts à payer</v>
      </c>
      <c r="AR470" s="487" t="s">
        <v>299</v>
      </c>
      <c r="AS470" s="487">
        <f>+VLOOKUP($AJ470,Data_Validation!$A:$E,5,0)</f>
        <v>0</v>
      </c>
      <c r="AT470" s="904" t="str">
        <f t="shared" si="45"/>
        <v>G32700</v>
      </c>
      <c r="AU470" s="488" t="str">
        <f t="shared" si="46"/>
        <v>IMPÔTS EXIGIBLES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1147</v>
      </c>
      <c r="B471" s="706">
        <v>2025</v>
      </c>
      <c r="C471" s="706" t="s">
        <v>2133</v>
      </c>
      <c r="D471" s="706" t="s">
        <v>2134</v>
      </c>
      <c r="E471" s="706" t="s">
        <v>1140</v>
      </c>
      <c r="F471" s="706" t="s">
        <v>1134</v>
      </c>
      <c r="G471" s="706">
        <v>-173407.47</v>
      </c>
      <c r="H471" s="706">
        <v>-177180.45</v>
      </c>
      <c r="I471" s="706">
        <v>-58277.47</v>
      </c>
      <c r="J471" s="706">
        <v>-182899.61</v>
      </c>
      <c r="K471" s="706">
        <v>-88317.21</v>
      </c>
      <c r="L471" s="706">
        <v>-100119.01</v>
      </c>
      <c r="M471" s="706">
        <v>-105538.09</v>
      </c>
      <c r="N471" s="706">
        <v>-81996.95</v>
      </c>
      <c r="O471" s="706">
        <v>-89577.12</v>
      </c>
      <c r="P471" s="706">
        <v>-84577.12</v>
      </c>
      <c r="Q471" s="706">
        <v>0</v>
      </c>
      <c r="R471" s="706">
        <v>-2688835.87</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G32900</v>
      </c>
      <c r="AK471" s="905" t="str">
        <f t="shared" si="49"/>
        <v>BONI À PAYER PROPRIETAIRE</v>
      </c>
      <c r="AL471" s="905">
        <f>IFERROR(INDEX(G471:R471,1,MATCH(Parametres!$B$3,G$1:R$1,0)-1)*IF(OR(F471="L",F471="S",F471="I"),-1,1),"")</f>
        <v>0</v>
      </c>
      <c r="AM471" s="905">
        <f t="shared" si="44"/>
        <v>2688835.87</v>
      </c>
      <c r="AN471" s="905">
        <f>INDEX(G471:R471,1,MATCH(Parametres!$B$3,G$1:R$1,0))*IF(OR(F471="L",F471="S",F471="I"),-1,1)</f>
        <v>2688835.87</v>
      </c>
      <c r="AO471" s="487" t="str">
        <f>+VLOOKUP($AJ471,Data_Validation!$A:$D,1,0)</f>
        <v>G32900</v>
      </c>
      <c r="AP471" s="487" t="str">
        <f>+VLOOKUP($AJ471,Data_Validation!$A:$D,3,0)</f>
        <v>Bilan</v>
      </c>
      <c r="AQ471" s="487" t="str">
        <f>+VLOOKUP($AJ471,Data_Validation!$A:$D,4,0)</f>
        <v>Salaires à Payer</v>
      </c>
      <c r="AR471" s="487" t="s">
        <v>299</v>
      </c>
      <c r="AS471" s="487">
        <f>+VLOOKUP($AJ471,Data_Validation!$A:$E,5,0)</f>
        <v>0</v>
      </c>
      <c r="AT471" s="904" t="str">
        <f t="shared" si="45"/>
        <v>G32900</v>
      </c>
      <c r="AU471" s="488" t="str">
        <f t="shared" si="46"/>
        <v>BONI À PAYER PROPRIETAIRE</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1147</v>
      </c>
      <c r="B472" s="706">
        <v>2025</v>
      </c>
      <c r="C472" s="706" t="s">
        <v>2145</v>
      </c>
      <c r="D472" s="706" t="s">
        <v>2146</v>
      </c>
      <c r="E472" s="706" t="s">
        <v>1138</v>
      </c>
      <c r="F472" s="706" t="s">
        <v>1134</v>
      </c>
      <c r="G472" s="706">
        <v>-6931.42</v>
      </c>
      <c r="H472" s="706">
        <v>-2755.95</v>
      </c>
      <c r="I472" s="706">
        <v>7343.77</v>
      </c>
      <c r="J472" s="706">
        <v>12694.92</v>
      </c>
      <c r="K472" s="706">
        <v>15827.2</v>
      </c>
      <c r="L472" s="706">
        <v>20315.62</v>
      </c>
      <c r="M472" s="706">
        <v>20345.82</v>
      </c>
      <c r="N472" s="706">
        <v>24353.72</v>
      </c>
      <c r="O472" s="706">
        <v>13796.91</v>
      </c>
      <c r="P472" s="706">
        <v>10643.93</v>
      </c>
      <c r="Q472" s="706">
        <v>609</v>
      </c>
      <c r="R472" s="706">
        <v>5918.68</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G33100</v>
      </c>
      <c r="AK472" s="905" t="str">
        <f t="shared" si="49"/>
        <v>AUTRES DEPENSES A PAYER</v>
      </c>
      <c r="AL472" s="905">
        <f>IFERROR(INDEX(G472:R472,1,MATCH(Parametres!$B$3,G$1:R$1,0)-1)*IF(OR(F472="L",F472="S",F472="I"),-1,1),"")</f>
        <v>-609</v>
      </c>
      <c r="AM472" s="905">
        <f t="shared" si="44"/>
        <v>-5309.68</v>
      </c>
      <c r="AN472" s="905">
        <f>INDEX(G472:R472,1,MATCH(Parametres!$B$3,G$1:R$1,0))*IF(OR(F472="L",F472="S",F472="I"),-1,1)</f>
        <v>-5918.68</v>
      </c>
      <c r="AO472" s="487" t="str">
        <f>+VLOOKUP($AJ472,Data_Validation!$A:$D,1,0)</f>
        <v>G33100</v>
      </c>
      <c r="AP472" s="487" t="str">
        <f>+VLOOKUP($AJ472,Data_Validation!$A:$D,3,0)</f>
        <v>Bilan</v>
      </c>
      <c r="AQ472" s="487" t="str">
        <f>+VLOOKUP($AJ472,Data_Validation!$A:$D,4,0)</f>
        <v>Autres Comptes à Payer</v>
      </c>
      <c r="AR472" s="487" t="s">
        <v>299</v>
      </c>
      <c r="AS472" s="487">
        <f>+VLOOKUP($AJ472,Data_Validation!$A:$E,5,0)</f>
        <v>0</v>
      </c>
      <c r="AT472" s="904" t="str">
        <f t="shared" si="45"/>
        <v>G33100</v>
      </c>
      <c r="AU472" s="488" t="str">
        <f t="shared" si="46"/>
        <v>AUTRES DEPENSES A PAYER</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1147</v>
      </c>
      <c r="B473" s="706">
        <v>2025</v>
      </c>
      <c r="C473" s="706" t="s">
        <v>2147</v>
      </c>
      <c r="D473" s="706" t="s">
        <v>2148</v>
      </c>
      <c r="E473" s="706" t="s">
        <v>333</v>
      </c>
      <c r="F473" s="706" t="s">
        <v>1134</v>
      </c>
      <c r="G473" s="706">
        <v>-3406.25</v>
      </c>
      <c r="H473" s="706">
        <v>-3406.25</v>
      </c>
      <c r="I473" s="706">
        <v>-3406.25</v>
      </c>
      <c r="J473" s="706">
        <v>-3406.25</v>
      </c>
      <c r="K473" s="706">
        <v>-3406.25</v>
      </c>
      <c r="L473" s="706">
        <v>-3406.25</v>
      </c>
      <c r="M473" s="706">
        <v>-3406.25</v>
      </c>
      <c r="N473" s="706">
        <v>-3406.25</v>
      </c>
      <c r="O473" s="706">
        <v>-3406.25</v>
      </c>
      <c r="P473" s="706">
        <v>-3406.25</v>
      </c>
      <c r="Q473" s="706">
        <v>-3406.25</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G33101</v>
      </c>
      <c r="AK473" s="905" t="str">
        <f t="shared" si="49"/>
        <v>PROVISION PUBLICITE</v>
      </c>
      <c r="AL473" s="905">
        <f>IFERROR(INDEX(G473:R473,1,MATCH(Parametres!$B$3,G$1:R$1,0)-1)*IF(OR(F473="L",F473="S",F473="I"),-1,1),"")</f>
        <v>3406.25</v>
      </c>
      <c r="AM473" s="905">
        <f t="shared" si="44"/>
        <v>-3406.25</v>
      </c>
      <c r="AN473" s="905">
        <f>INDEX(G473:R473,1,MATCH(Parametres!$B$3,G$1:R$1,0))*IF(OR(F473="L",F473="S",F473="I"),-1,1)</f>
        <v>0</v>
      </c>
      <c r="AO473" s="487" t="str">
        <f>+VLOOKUP($AJ473,Data_Validation!$A:$D,1,0)</f>
        <v>G33101</v>
      </c>
      <c r="AP473" s="487" t="str">
        <f>+VLOOKUP($AJ473,Data_Validation!$A:$D,3,0)</f>
        <v>Bilan</v>
      </c>
      <c r="AQ473" s="487" t="str">
        <f>+VLOOKUP($AJ473,Data_Validation!$A:$D,4,0)</f>
        <v>Autres Courus</v>
      </c>
      <c r="AR473" s="487" t="s">
        <v>299</v>
      </c>
      <c r="AS473" s="487">
        <f>+VLOOKUP($AJ473,Data_Validation!$A:$E,5,0)</f>
        <v>0</v>
      </c>
      <c r="AT473" s="904" t="str">
        <f t="shared" si="45"/>
        <v>G33101</v>
      </c>
      <c r="AU473" s="488" t="str">
        <f t="shared" si="46"/>
        <v>PROVISION PUBLICITE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1147</v>
      </c>
      <c r="B474" s="706">
        <v>2025</v>
      </c>
      <c r="C474" s="706" t="s">
        <v>2149</v>
      </c>
      <c r="D474" s="706" t="s">
        <v>2150</v>
      </c>
      <c r="E474" s="706" t="s">
        <v>333</v>
      </c>
      <c r="F474" s="706" t="s">
        <v>1134</v>
      </c>
      <c r="G474" s="706">
        <v>228895.92</v>
      </c>
      <c r="H474" s="706">
        <v>231259.26</v>
      </c>
      <c r="I474" s="706">
        <v>233809.34</v>
      </c>
      <c r="J474" s="706">
        <v>249378.52</v>
      </c>
      <c r="K474" s="706">
        <v>262953.65999999997</v>
      </c>
      <c r="L474" s="706">
        <v>261857.21</v>
      </c>
      <c r="M474" s="706">
        <v>249528.07</v>
      </c>
      <c r="N474" s="706">
        <v>213342.22</v>
      </c>
      <c r="O474" s="706">
        <v>207981.28</v>
      </c>
      <c r="P474" s="706">
        <v>220072.48</v>
      </c>
      <c r="Q474" s="706">
        <v>228857.66</v>
      </c>
      <c r="R474" s="706">
        <v>216004.32</v>
      </c>
      <c r="S474" s="706">
        <v>0</v>
      </c>
      <c r="T474" s="706">
        <v>0</v>
      </c>
      <c r="U474" s="706">
        <v>-60968</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G33102</v>
      </c>
      <c r="AK474" s="905" t="str">
        <f t="shared" si="49"/>
        <v>PROVISIONS POUR VACANCES</v>
      </c>
      <c r="AL474" s="905">
        <f>IFERROR(INDEX(G474:R474,1,MATCH(Parametres!$B$3,G$1:R$1,0)-1)*IF(OR(F474="L",F474="S",F474="I"),-1,1),"")</f>
        <v>-228857.66</v>
      </c>
      <c r="AM474" s="905">
        <f t="shared" si="44"/>
        <v>12853.339999999997</v>
      </c>
      <c r="AN474" s="905">
        <f>INDEX(G474:R474,1,MATCH(Parametres!$B$3,G$1:R$1,0))*IF(OR(F474="L",F474="S",F474="I"),-1,1)</f>
        <v>-216004.32</v>
      </c>
      <c r="AO474" s="487" t="str">
        <f>+VLOOKUP($AJ474,Data_Validation!$A:$D,1,0)</f>
        <v>G33102</v>
      </c>
      <c r="AP474" s="487" t="str">
        <f>+VLOOKUP($AJ474,Data_Validation!$A:$D,3,0)</f>
        <v>Bilan</v>
      </c>
      <c r="AQ474" s="487" t="str">
        <f>+VLOOKUP($AJ474,Data_Validation!$A:$D,4,0)</f>
        <v>Salaires à Payer</v>
      </c>
      <c r="AR474" s="487" t="s">
        <v>299</v>
      </c>
      <c r="AS474" s="487">
        <f>+VLOOKUP($AJ474,Data_Validation!$A:$E,5,0)</f>
        <v>0</v>
      </c>
      <c r="AT474" s="904" t="str">
        <f t="shared" si="45"/>
        <v>G33102</v>
      </c>
      <c r="AU474" s="488" t="str">
        <f t="shared" si="46"/>
        <v>PROVISIONS POUR VACANCES</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1147</v>
      </c>
      <c r="B475" s="706">
        <v>2025</v>
      </c>
      <c r="C475" s="706" t="s">
        <v>2151</v>
      </c>
      <c r="D475" s="706" t="s">
        <v>2152</v>
      </c>
      <c r="E475" s="706" t="s">
        <v>336</v>
      </c>
      <c r="F475" s="706" t="s">
        <v>1134</v>
      </c>
      <c r="G475" s="706">
        <v>30898.99</v>
      </c>
      <c r="H475" s="706">
        <v>25973.75</v>
      </c>
      <c r="I475" s="706">
        <v>21859.9</v>
      </c>
      <c r="J475" s="706">
        <v>28404.400000000001</v>
      </c>
      <c r="K475" s="706">
        <v>28181.69</v>
      </c>
      <c r="L475" s="706">
        <v>36861.120000000003</v>
      </c>
      <c r="M475" s="706">
        <v>6970.75</v>
      </c>
      <c r="N475" s="706">
        <v>3800</v>
      </c>
      <c r="O475" s="706">
        <v>7325</v>
      </c>
      <c r="P475" s="706">
        <v>12096.3</v>
      </c>
      <c r="Q475" s="706">
        <v>19678.2</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G33103</v>
      </c>
      <c r="AK475" s="905" t="str">
        <f t="shared" si="49"/>
        <v>RESERVE USA</v>
      </c>
      <c r="AL475" s="905">
        <f>IFERROR(INDEX(G475:R475,1,MATCH(Parametres!$B$3,G$1:R$1,0)-1)*IF(OR(F475="L",F475="S",F475="I"),-1,1),"")</f>
        <v>-19678.2</v>
      </c>
      <c r="AM475" s="905">
        <f t="shared" si="44"/>
        <v>19678.2</v>
      </c>
      <c r="AN475" s="905">
        <f>INDEX(G475:R475,1,MATCH(Parametres!$B$3,G$1:R$1,0))*IF(OR(F475="L",F475="S",F475="I"),-1,1)</f>
        <v>0</v>
      </c>
      <c r="AO475" s="487" t="str">
        <f>+VLOOKUP($AJ475,Data_Validation!$A:$D,1,0)</f>
        <v>G33103</v>
      </c>
      <c r="AP475" s="487" t="str">
        <f>+VLOOKUP($AJ475,Data_Validation!$A:$D,3,0)</f>
        <v>Bilan</v>
      </c>
      <c r="AQ475" s="487" t="str">
        <f>+VLOOKUP($AJ475,Data_Validation!$A:$D,4,0)</f>
        <v>Autres Courus</v>
      </c>
      <c r="AR475" s="487" t="s">
        <v>299</v>
      </c>
      <c r="AS475" s="487">
        <f>+VLOOKUP($AJ475,Data_Validation!$A:$E,5,0)</f>
        <v>0</v>
      </c>
      <c r="AT475" s="904" t="str">
        <f t="shared" si="45"/>
        <v>G33103</v>
      </c>
      <c r="AU475" s="488" t="str">
        <f t="shared" si="46"/>
        <v>RESERVE USA</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1147</v>
      </c>
      <c r="B476" s="706">
        <v>2025</v>
      </c>
      <c r="C476" s="706" t="s">
        <v>2153</v>
      </c>
      <c r="D476" s="706" t="s">
        <v>2154</v>
      </c>
      <c r="E476" s="706" t="s">
        <v>1138</v>
      </c>
      <c r="F476" s="706" t="s">
        <v>1134</v>
      </c>
      <c r="G476" s="706">
        <v>77240.08</v>
      </c>
      <c r="H476" s="706">
        <v>121849.08</v>
      </c>
      <c r="I476" s="706">
        <v>34156.080000000002</v>
      </c>
      <c r="J476" s="706">
        <v>111331.08</v>
      </c>
      <c r="K476" s="706">
        <v>121699.93</v>
      </c>
      <c r="L476" s="706">
        <v>143388.60999999999</v>
      </c>
      <c r="M476" s="706">
        <v>26782.69</v>
      </c>
      <c r="N476" s="706">
        <v>76472.27</v>
      </c>
      <c r="O476" s="706">
        <v>10506</v>
      </c>
      <c r="P476" s="706">
        <v>7357</v>
      </c>
      <c r="Q476" s="706">
        <v>9655</v>
      </c>
      <c r="R476" s="706">
        <v>12405</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G33104</v>
      </c>
      <c r="AK476" s="905" t="str">
        <f t="shared" si="49"/>
        <v>RESERVE FLOTTES</v>
      </c>
      <c r="AL476" s="905">
        <f>IFERROR(INDEX(G476:R476,1,MATCH(Parametres!$B$3,G$1:R$1,0)-1)*IF(OR(F476="L",F476="S",F476="I"),-1,1),"")</f>
        <v>-9655</v>
      </c>
      <c r="AM476" s="905">
        <f t="shared" si="44"/>
        <v>-2750</v>
      </c>
      <c r="AN476" s="905">
        <f>INDEX(G476:R476,1,MATCH(Parametres!$B$3,G$1:R$1,0))*IF(OR(F476="L",F476="S",F476="I"),-1,1)</f>
        <v>-12405</v>
      </c>
      <c r="AO476" s="487" t="str">
        <f>+VLOOKUP($AJ476,Data_Validation!$A:$D,1,0)</f>
        <v>G33104</v>
      </c>
      <c r="AP476" s="487" t="str">
        <f>+VLOOKUP($AJ476,Data_Validation!$A:$D,3,0)</f>
        <v>Bilan</v>
      </c>
      <c r="AQ476" s="487" t="str">
        <f>+VLOOKUP($AJ476,Data_Validation!$A:$D,4,0)</f>
        <v>Autres Courus</v>
      </c>
      <c r="AR476" s="487" t="s">
        <v>299</v>
      </c>
      <c r="AS476" s="487">
        <f>+VLOOKUP($AJ476,Data_Validation!$A:$E,5,0)</f>
        <v>0</v>
      </c>
      <c r="AT476" s="904" t="str">
        <f t="shared" si="45"/>
        <v>G33104</v>
      </c>
      <c r="AU476" s="488" t="str">
        <f t="shared" si="46"/>
        <v>RESERVE FLOTTES</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1147</v>
      </c>
      <c r="B477" s="706">
        <v>2025</v>
      </c>
      <c r="C477" s="706" t="s">
        <v>2155</v>
      </c>
      <c r="D477" s="706" t="s">
        <v>2156</v>
      </c>
      <c r="E477" s="706" t="s">
        <v>336</v>
      </c>
      <c r="F477" s="706" t="s">
        <v>1134</v>
      </c>
      <c r="G477" s="706">
        <v>26749</v>
      </c>
      <c r="H477" s="706">
        <v>50857.52</v>
      </c>
      <c r="I477" s="706">
        <v>98380.42</v>
      </c>
      <c r="J477" s="706">
        <v>112567.59</v>
      </c>
      <c r="K477" s="706">
        <v>113194.34</v>
      </c>
      <c r="L477" s="706">
        <v>113194.34</v>
      </c>
      <c r="M477" s="706">
        <v>113194.34</v>
      </c>
      <c r="N477" s="706">
        <v>113750.34</v>
      </c>
      <c r="O477" s="706">
        <v>113194.34</v>
      </c>
      <c r="P477" s="706">
        <v>117091.34</v>
      </c>
      <c r="Q477" s="706">
        <v>134913.84</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G33105</v>
      </c>
      <c r="AK477" s="905" t="str">
        <f t="shared" si="49"/>
        <v>RESERVE TRANSP.WHOLESALE</v>
      </c>
      <c r="AL477" s="905">
        <f>IFERROR(INDEX(G477:R477,1,MATCH(Parametres!$B$3,G$1:R$1,0)-1)*IF(OR(F477="L",F477="S",F477="I"),-1,1),"")</f>
        <v>-134913.84</v>
      </c>
      <c r="AM477" s="905">
        <f t="shared" si="44"/>
        <v>134913.84</v>
      </c>
      <c r="AN477" s="905">
        <f>INDEX(G477:R477,1,MATCH(Parametres!$B$3,G$1:R$1,0))*IF(OR(F477="L",F477="S",F477="I"),-1,1)</f>
        <v>0</v>
      </c>
      <c r="AO477" s="487" t="str">
        <f>+VLOOKUP($AJ477,Data_Validation!$A:$D,1,0)</f>
        <v>G33105</v>
      </c>
      <c r="AP477" s="487" t="str">
        <f>+VLOOKUP($AJ477,Data_Validation!$A:$D,3,0)</f>
        <v>Bilan</v>
      </c>
      <c r="AQ477" s="487" t="str">
        <f>+VLOOKUP($AJ477,Data_Validation!$A:$D,4,0)</f>
        <v>Autres Courus</v>
      </c>
      <c r="AR477" s="487" t="s">
        <v>299</v>
      </c>
      <c r="AS477" s="487">
        <f>+VLOOKUP($AJ477,Data_Validation!$A:$E,5,0)</f>
        <v>0</v>
      </c>
      <c r="AT477" s="904" t="str">
        <f t="shared" si="45"/>
        <v>G33105</v>
      </c>
      <c r="AU477" s="488" t="str">
        <f t="shared" si="46"/>
        <v>RESERVE TRANSP.WHOLESALE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1147</v>
      </c>
      <c r="B478" s="706">
        <v>2025</v>
      </c>
      <c r="C478" s="706" t="s">
        <v>2157</v>
      </c>
      <c r="D478" s="706" t="s">
        <v>2158</v>
      </c>
      <c r="E478" s="706" t="s">
        <v>1138</v>
      </c>
      <c r="F478" s="706" t="s">
        <v>1134</v>
      </c>
      <c r="G478" s="706">
        <v>0</v>
      </c>
      <c r="H478" s="706">
        <v>0</v>
      </c>
      <c r="I478" s="706">
        <v>0</v>
      </c>
      <c r="J478" s="706">
        <v>0</v>
      </c>
      <c r="K478" s="706">
        <v>0</v>
      </c>
      <c r="L478" s="706">
        <v>0</v>
      </c>
      <c r="M478" s="706">
        <v>0</v>
      </c>
      <c r="N478" s="706">
        <v>0</v>
      </c>
      <c r="O478" s="706">
        <v>8266.32</v>
      </c>
      <c r="P478" s="706">
        <v>8266.32</v>
      </c>
      <c r="Q478" s="706">
        <v>6266.32</v>
      </c>
      <c r="R478" s="706">
        <v>-31643.860000000008</v>
      </c>
      <c r="S478" s="706">
        <v>0</v>
      </c>
      <c r="T478" s="706">
        <v>0</v>
      </c>
      <c r="U478" s="706">
        <v>43756.49</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G33106</v>
      </c>
      <c r="AK478" s="905" t="str">
        <f t="shared" si="49"/>
        <v>RESERVE DEMO</v>
      </c>
      <c r="AL478" s="905">
        <f>IFERROR(INDEX(G478:R478,1,MATCH(Parametres!$B$3,G$1:R$1,0)-1)*IF(OR(F478="L",F478="S",F478="I"),-1,1),"")</f>
        <v>-6266.32</v>
      </c>
      <c r="AM478" s="905">
        <f t="shared" si="44"/>
        <v>37910.180000000008</v>
      </c>
      <c r="AN478" s="905">
        <f>INDEX(G478:R478,1,MATCH(Parametres!$B$3,G$1:R$1,0))*IF(OR(F478="L",F478="S",F478="I"),-1,1)</f>
        <v>31643.860000000008</v>
      </c>
      <c r="AO478" s="487" t="str">
        <f>+VLOOKUP($AJ478,Data_Validation!$A:$D,1,0)</f>
        <v>G33106</v>
      </c>
      <c r="AP478" s="487" t="str">
        <f>+VLOOKUP($AJ478,Data_Validation!$A:$D,3,0)</f>
        <v>Bilan</v>
      </c>
      <c r="AQ478" s="487" t="str">
        <f>+VLOOKUP($AJ478,Data_Validation!$A:$D,4,0)</f>
        <v>Autres Courus</v>
      </c>
      <c r="AR478" s="487" t="s">
        <v>299</v>
      </c>
      <c r="AS478" s="487">
        <f>+VLOOKUP($AJ478,Data_Validation!$A:$E,5,0)</f>
        <v>0</v>
      </c>
      <c r="AT478" s="904" t="str">
        <f t="shared" si="45"/>
        <v>G33106</v>
      </c>
      <c r="AU478" s="488" t="str">
        <f t="shared" si="46"/>
        <v>RESERVE DEMO</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1147</v>
      </c>
      <c r="B479" s="706">
        <v>2025</v>
      </c>
      <c r="C479" s="706" t="s">
        <v>2159</v>
      </c>
      <c r="D479" s="706" t="s">
        <v>2160</v>
      </c>
      <c r="E479" s="706" t="s">
        <v>1138</v>
      </c>
      <c r="F479" s="706" t="s">
        <v>1134</v>
      </c>
      <c r="G479" s="706">
        <v>0</v>
      </c>
      <c r="H479" s="706">
        <v>0</v>
      </c>
      <c r="I479" s="706">
        <v>0</v>
      </c>
      <c r="J479" s="706">
        <v>0</v>
      </c>
      <c r="K479" s="706">
        <v>0</v>
      </c>
      <c r="L479" s="706">
        <v>0</v>
      </c>
      <c r="M479" s="706">
        <v>0</v>
      </c>
      <c r="N479" s="706">
        <v>0</v>
      </c>
      <c r="O479" s="706">
        <v>-21489.32</v>
      </c>
      <c r="P479" s="706">
        <v>95497.68</v>
      </c>
      <c r="Q479" s="706">
        <v>79086</v>
      </c>
      <c r="R479" s="706">
        <v>-78756</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G33107</v>
      </c>
      <c r="AK479" s="905" t="str">
        <f t="shared" si="49"/>
        <v>ACCESSOIRES FLOTTES</v>
      </c>
      <c r="AL479" s="905">
        <f>IFERROR(INDEX(G479:R479,1,MATCH(Parametres!$B$3,G$1:R$1,0)-1)*IF(OR(F479="L",F479="S",F479="I"),-1,1),"")</f>
        <v>-79086</v>
      </c>
      <c r="AM479" s="905">
        <f t="shared" si="44"/>
        <v>157842</v>
      </c>
      <c r="AN479" s="905">
        <f>INDEX(G479:R479,1,MATCH(Parametres!$B$3,G$1:R$1,0))*IF(OR(F479="L",F479="S",F479="I"),-1,1)</f>
        <v>78756</v>
      </c>
      <c r="AO479" s="487" t="str">
        <f>+VLOOKUP($AJ479,Data_Validation!$A:$D,1,0)</f>
        <v>G33107</v>
      </c>
      <c r="AP479" s="487" t="str">
        <f>+VLOOKUP($AJ479,Data_Validation!$A:$D,3,0)</f>
        <v>Bilan</v>
      </c>
      <c r="AQ479" s="487" t="str">
        <f>+VLOOKUP($AJ479,Data_Validation!$A:$D,4,0)</f>
        <v>Autres Comptes à Payer</v>
      </c>
      <c r="AR479" s="487" t="s">
        <v>299</v>
      </c>
      <c r="AS479" s="487">
        <f>+VLOOKUP($AJ479,Data_Validation!$A:$E,5,0)</f>
        <v>0</v>
      </c>
      <c r="AT479" s="904" t="str">
        <f t="shared" si="45"/>
        <v>G33107</v>
      </c>
      <c r="AU479" s="488" t="str">
        <f t="shared" si="46"/>
        <v>ACCESSOIRES FLOTTES</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customHeight="1">
      <c r="A480" s="706" t="s">
        <v>1147</v>
      </c>
      <c r="B480" s="706">
        <v>2025</v>
      </c>
      <c r="C480" s="706" t="s">
        <v>2161</v>
      </c>
      <c r="D480" s="706" t="s">
        <v>2162</v>
      </c>
      <c r="E480" s="706" t="s">
        <v>336</v>
      </c>
      <c r="F480" s="706" t="s">
        <v>1134</v>
      </c>
      <c r="G480" s="706">
        <v>0</v>
      </c>
      <c r="H480" s="706">
        <v>0</v>
      </c>
      <c r="I480" s="706">
        <v>0</v>
      </c>
      <c r="J480" s="706">
        <v>0</v>
      </c>
      <c r="K480" s="706">
        <v>0</v>
      </c>
      <c r="L480" s="706">
        <v>0</v>
      </c>
      <c r="M480" s="706">
        <v>0</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G33110</v>
      </c>
      <c r="AK480" s="905" t="str">
        <f t="shared" si="49"/>
        <v>RABAIS LOCATION LMB INC</v>
      </c>
      <c r="AL480" s="905">
        <f>IFERROR(INDEX(G480:R480,1,MATCH(Parametres!$B$3,G$1:R$1,0)-1)*IF(OR(F480="L",F480="S",F480="I"),-1,1),"")</f>
        <v>0</v>
      </c>
      <c r="AM480" s="905">
        <f t="shared" si="44"/>
        <v>0</v>
      </c>
      <c r="AN480" s="905">
        <f>INDEX(G480:R480,1,MATCH(Parametres!$B$3,G$1:R$1,0))*IF(OR(F480="L",F480="S",F480="I"),-1,1)</f>
        <v>0</v>
      </c>
      <c r="AO480" s="487" t="str">
        <f>+VLOOKUP($AJ480,Data_Validation!$A:$D,1,0)</f>
        <v>G33110</v>
      </c>
      <c r="AP480" s="487">
        <f>+VLOOKUP($AJ480,Data_Validation!$A:$D,3,0)</f>
        <v>0</v>
      </c>
      <c r="AQ480" s="487">
        <f>+VLOOKUP($AJ480,Data_Validation!$A:$D,4,0)</f>
        <v>0</v>
      </c>
      <c r="AR480" s="487" t="s">
        <v>299</v>
      </c>
      <c r="AS480" s="487">
        <f>+VLOOKUP($AJ480,Data_Validation!$A:$E,5,0)</f>
        <v>0</v>
      </c>
      <c r="AT480" s="904" t="str">
        <f t="shared" si="45"/>
        <v>G33110</v>
      </c>
      <c r="AU480" s="488" t="str">
        <f t="shared" si="46"/>
        <v>RABAIS LOCATION LMB INC</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1147</v>
      </c>
      <c r="B481" s="706">
        <v>2025</v>
      </c>
      <c r="C481" s="706" t="s">
        <v>2163</v>
      </c>
      <c r="D481" s="706" t="s">
        <v>2164</v>
      </c>
      <c r="E481" s="706" t="s">
        <v>333</v>
      </c>
      <c r="F481" s="706" t="s">
        <v>1134</v>
      </c>
      <c r="G481" s="706">
        <v>4150</v>
      </c>
      <c r="H481" s="706">
        <v>6850</v>
      </c>
      <c r="I481" s="706">
        <v>7050</v>
      </c>
      <c r="J481" s="706">
        <v>9330</v>
      </c>
      <c r="K481" s="706">
        <v>9330</v>
      </c>
      <c r="L481" s="706">
        <v>9330</v>
      </c>
      <c r="M481" s="706">
        <v>9330</v>
      </c>
      <c r="N481" s="706">
        <v>9730</v>
      </c>
      <c r="O481" s="706">
        <v>9930</v>
      </c>
      <c r="P481" s="706">
        <v>10730</v>
      </c>
      <c r="Q481" s="706">
        <v>11880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G33111</v>
      </c>
      <c r="AK481" s="905" t="str">
        <f t="shared" si="49"/>
        <v>PROVISION WHOLESSALE</v>
      </c>
      <c r="AL481" s="905">
        <f>IFERROR(INDEX(G481:R481,1,MATCH(Parametres!$B$3,G$1:R$1,0)-1)*IF(OR(F481="L",F481="S",F481="I"),-1,1),"")</f>
        <v>-11880</v>
      </c>
      <c r="AM481" s="905">
        <f t="shared" si="44"/>
        <v>11880</v>
      </c>
      <c r="AN481" s="905">
        <f>INDEX(G481:R481,1,MATCH(Parametres!$B$3,G$1:R$1,0))*IF(OR(F481="L",F481="S",F481="I"),-1,1)</f>
        <v>0</v>
      </c>
      <c r="AO481" s="487" t="str">
        <f>+VLOOKUP($AJ481,Data_Validation!$A:$D,1,0)</f>
        <v>G33111</v>
      </c>
      <c r="AP481" s="487" t="str">
        <f>+VLOOKUP($AJ481,Data_Validation!$A:$D,3,0)</f>
        <v>Bilan</v>
      </c>
      <c r="AQ481" s="487" t="str">
        <f>+VLOOKUP($AJ481,Data_Validation!$A:$D,4,0)</f>
        <v>Autres Courus</v>
      </c>
      <c r="AR481" s="487" t="s">
        <v>299</v>
      </c>
      <c r="AS481" s="487">
        <f>+VLOOKUP($AJ481,Data_Validation!$A:$E,5,0)</f>
        <v>0</v>
      </c>
      <c r="AT481" s="904" t="str">
        <f t="shared" si="45"/>
        <v>G33111</v>
      </c>
      <c r="AU481" s="488" t="str">
        <f t="shared" si="46"/>
        <v>PROVISION WHOLESSALE</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1147</v>
      </c>
      <c r="B482" s="706">
        <v>2025</v>
      </c>
      <c r="C482" s="706" t="s">
        <v>2165</v>
      </c>
      <c r="D482" s="706" t="s">
        <v>2166</v>
      </c>
      <c r="E482" s="706" t="s">
        <v>333</v>
      </c>
      <c r="F482" s="706" t="s">
        <v>1134</v>
      </c>
      <c r="G482" s="706">
        <v>22500</v>
      </c>
      <c r="H482" s="706">
        <v>26000</v>
      </c>
      <c r="I482" s="706">
        <v>33000</v>
      </c>
      <c r="J482" s="706">
        <v>39000</v>
      </c>
      <c r="K482" s="706">
        <v>45750</v>
      </c>
      <c r="L482" s="706">
        <v>49750</v>
      </c>
      <c r="M482" s="706">
        <v>57000</v>
      </c>
      <c r="N482" s="706">
        <v>62500</v>
      </c>
      <c r="O482" s="706">
        <v>27140.3</v>
      </c>
      <c r="P482" s="706">
        <v>27140.3</v>
      </c>
      <c r="Q482" s="706">
        <v>27140.3</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G33112</v>
      </c>
      <c r="AK482" s="905" t="str">
        <f t="shared" si="49"/>
        <v>PROVISION DETAIL</v>
      </c>
      <c r="AL482" s="905">
        <f>IFERROR(INDEX(G482:R482,1,MATCH(Parametres!$B$3,G$1:R$1,0)-1)*IF(OR(F482="L",F482="S",F482="I"),-1,1),"")</f>
        <v>-27140.3</v>
      </c>
      <c r="AM482" s="905">
        <f t="shared" si="44"/>
        <v>27140.3</v>
      </c>
      <c r="AN482" s="905">
        <f>INDEX(G482:R482,1,MATCH(Parametres!$B$3,G$1:R$1,0))*IF(OR(F482="L",F482="S",F482="I"),-1,1)</f>
        <v>0</v>
      </c>
      <c r="AO482" s="487" t="str">
        <f>+VLOOKUP($AJ482,Data_Validation!$A:$D,1,0)</f>
        <v>G33112</v>
      </c>
      <c r="AP482" s="487" t="str">
        <f>+VLOOKUP($AJ482,Data_Validation!$A:$D,3,0)</f>
        <v>Bilan</v>
      </c>
      <c r="AQ482" s="487" t="str">
        <f>+VLOOKUP($AJ482,Data_Validation!$A:$D,4,0)</f>
        <v>Autres Courus</v>
      </c>
      <c r="AR482" s="487" t="s">
        <v>299</v>
      </c>
      <c r="AS482" s="487">
        <f>+VLOOKUP($AJ482,Data_Validation!$A:$E,5,0)</f>
        <v>0</v>
      </c>
      <c r="AT482" s="904" t="str">
        <f t="shared" si="45"/>
        <v>G33112</v>
      </c>
      <c r="AU482" s="488" t="str">
        <f t="shared" si="46"/>
        <v>PROVISION DETAIL</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1147</v>
      </c>
      <c r="B483" s="706">
        <v>2025</v>
      </c>
      <c r="C483" s="706" t="s">
        <v>2167</v>
      </c>
      <c r="D483" s="706" t="s">
        <v>2168</v>
      </c>
      <c r="E483" s="706" t="s">
        <v>333</v>
      </c>
      <c r="F483" s="706" t="s">
        <v>1134</v>
      </c>
      <c r="G483" s="706">
        <v>-22783.45</v>
      </c>
      <c r="H483" s="706">
        <v>60900</v>
      </c>
      <c r="I483" s="706">
        <v>98300</v>
      </c>
      <c r="J483" s="706">
        <v>106050</v>
      </c>
      <c r="K483" s="706">
        <v>106400</v>
      </c>
      <c r="L483" s="706">
        <v>106400</v>
      </c>
      <c r="M483" s="706">
        <v>106400</v>
      </c>
      <c r="N483" s="706">
        <v>106400</v>
      </c>
      <c r="O483" s="706">
        <v>47500</v>
      </c>
      <c r="P483" s="706">
        <v>58290</v>
      </c>
      <c r="Q483" s="706">
        <v>97360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G33113</v>
      </c>
      <c r="AK483" s="905" t="str">
        <f t="shared" si="49"/>
        <v>PROVISION USA</v>
      </c>
      <c r="AL483" s="905">
        <f>IFERROR(INDEX(G483:R483,1,MATCH(Parametres!$B$3,G$1:R$1,0)-1)*IF(OR(F483="L",F483="S",F483="I"),-1,1),"")</f>
        <v>-97360</v>
      </c>
      <c r="AM483" s="905">
        <f t="shared" si="44"/>
        <v>97360</v>
      </c>
      <c r="AN483" s="905">
        <f>INDEX(G483:R483,1,MATCH(Parametres!$B$3,G$1:R$1,0))*IF(OR(F483="L",F483="S",F483="I"),-1,1)</f>
        <v>0</v>
      </c>
      <c r="AO483" s="487" t="str">
        <f>+VLOOKUP($AJ483,Data_Validation!$A:$D,1,0)</f>
        <v>G33113</v>
      </c>
      <c r="AP483" s="487" t="str">
        <f>+VLOOKUP($AJ483,Data_Validation!$A:$D,3,0)</f>
        <v>Bilan</v>
      </c>
      <c r="AQ483" s="487" t="str">
        <f>+VLOOKUP($AJ483,Data_Validation!$A:$D,4,0)</f>
        <v>Autres Courus</v>
      </c>
      <c r="AR483" s="487" t="s">
        <v>299</v>
      </c>
      <c r="AS483" s="487">
        <f>+VLOOKUP($AJ483,Data_Validation!$A:$E,5,0)</f>
        <v>0</v>
      </c>
      <c r="AT483" s="904" t="str">
        <f t="shared" si="45"/>
        <v>G33113</v>
      </c>
      <c r="AU483" s="488" t="str">
        <f t="shared" si="46"/>
        <v>PROVISION USA</v>
      </c>
      <c r="AV483" s="899">
        <f>IFERROR(INDEX(V483:AG483,1,MATCH(Parametres!$B$3,V$1:AG$1,0)-1)*IF(OR(C483="L",C483="S",C483="I"),-1,1),"")</f>
        <v>0</v>
      </c>
      <c r="AW483" s="899">
        <f t="shared" si="47"/>
        <v>0</v>
      </c>
      <c r="AX483" s="899">
        <f>INDEX(V483:AG483,1,MATCH(Parametres!$B$3,V$1:AG$1,0))*IF(OR(C483="L",C483="S",C483="I"),-1,1)</f>
        <v>0</v>
      </c>
      <c r="AY483" s="487" t="s">
        <v>337</v>
      </c>
      <c r="AZ483" s="487">
        <f>+VLOOKUP($AJ483,Data_Validation!$A:$E,5,0)</f>
        <v>0</v>
      </c>
    </row>
    <row r="484" spans="1:52" ht="15" hidden="1" customHeight="1">
      <c r="A484" s="706" t="s">
        <v>1147</v>
      </c>
      <c r="B484" s="706">
        <v>2025</v>
      </c>
      <c r="C484" s="706" t="s">
        <v>2169</v>
      </c>
      <c r="D484" s="706" t="s">
        <v>2170</v>
      </c>
      <c r="E484" s="706" t="s">
        <v>333</v>
      </c>
      <c r="F484" s="706" t="s">
        <v>1134</v>
      </c>
      <c r="G484" s="706">
        <v>0</v>
      </c>
      <c r="H484" s="706">
        <v>150</v>
      </c>
      <c r="I484" s="706">
        <v>15300</v>
      </c>
      <c r="J484" s="706">
        <v>20150</v>
      </c>
      <c r="K484" s="706">
        <v>20300</v>
      </c>
      <c r="L484" s="706">
        <v>20300</v>
      </c>
      <c r="M484" s="706">
        <v>20300</v>
      </c>
      <c r="N484" s="706">
        <v>0</v>
      </c>
      <c r="O484" s="706">
        <v>300</v>
      </c>
      <c r="P484" s="706">
        <v>4950</v>
      </c>
      <c r="Q484" s="706">
        <v>4950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G33114</v>
      </c>
      <c r="AK484" s="905" t="str">
        <f t="shared" si="49"/>
        <v>PROVISION HERELLE</v>
      </c>
      <c r="AL484" s="905">
        <f>IFERROR(INDEX(G484:R484,1,MATCH(Parametres!$B$3,G$1:R$1,0)-1)*IF(OR(F484="L",F484="S",F484="I"),-1,1),"")</f>
        <v>-4950</v>
      </c>
      <c r="AM484" s="905">
        <f t="shared" si="44"/>
        <v>4950</v>
      </c>
      <c r="AN484" s="905">
        <f>INDEX(G484:R484,1,MATCH(Parametres!$B$3,G$1:R$1,0))*IF(OR(F484="L",F484="S",F484="I"),-1,1)</f>
        <v>0</v>
      </c>
      <c r="AO484" s="487" t="str">
        <f>+VLOOKUP($AJ484,Data_Validation!$A:$D,1,0)</f>
        <v>G33114</v>
      </c>
      <c r="AP484" s="487" t="str">
        <f>+VLOOKUP($AJ484,Data_Validation!$A:$D,3,0)</f>
        <v>Bilan</v>
      </c>
      <c r="AQ484" s="487" t="str">
        <f>+VLOOKUP($AJ484,Data_Validation!$A:$D,4,0)</f>
        <v>Autres Courus</v>
      </c>
      <c r="AR484" s="487" t="s">
        <v>299</v>
      </c>
      <c r="AS484" s="487">
        <f>+VLOOKUP($AJ484,Data_Validation!$A:$E,5,0)</f>
        <v>0</v>
      </c>
      <c r="AT484" s="904" t="str">
        <f t="shared" si="45"/>
        <v>G33114</v>
      </c>
      <c r="AU484" s="488" t="str">
        <f t="shared" si="46"/>
        <v>PROVISION HERELLE</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1147</v>
      </c>
      <c r="B485" s="706">
        <v>2025</v>
      </c>
      <c r="C485" s="706" t="s">
        <v>2171</v>
      </c>
      <c r="D485" s="706" t="s">
        <v>2172</v>
      </c>
      <c r="E485" s="706" t="s">
        <v>336</v>
      </c>
      <c r="F485" s="706" t="s">
        <v>1134</v>
      </c>
      <c r="G485" s="706">
        <v>0</v>
      </c>
      <c r="H485" s="706">
        <v>0</v>
      </c>
      <c r="I485" s="706">
        <v>0</v>
      </c>
      <c r="J485" s="706">
        <v>0</v>
      </c>
      <c r="K485" s="706">
        <v>0</v>
      </c>
      <c r="L485" s="706">
        <v>0</v>
      </c>
      <c r="M485" s="706">
        <v>0</v>
      </c>
      <c r="N485" s="706">
        <v>0</v>
      </c>
      <c r="O485" s="706">
        <v>0</v>
      </c>
      <c r="P485" s="706">
        <v>2284.52</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G33115</v>
      </c>
      <c r="AK485" s="905" t="str">
        <f t="shared" si="49"/>
        <v>PROVISION LMB</v>
      </c>
      <c r="AL485" s="905">
        <f>IFERROR(INDEX(G485:R485,1,MATCH(Parametres!$B$3,G$1:R$1,0)-1)*IF(OR(F485="L",F485="S",F485="I"),-1,1),"")</f>
        <v>0</v>
      </c>
      <c r="AM485" s="905">
        <f t="shared" si="44"/>
        <v>0</v>
      </c>
      <c r="AN485" s="905">
        <f>INDEX(G485:R485,1,MATCH(Parametres!$B$3,G$1:R$1,0))*IF(OR(F485="L",F485="S",F485="I"),-1,1)</f>
        <v>0</v>
      </c>
      <c r="AO485" s="487" t="str">
        <f>+VLOOKUP($AJ485,Data_Validation!$A:$D,1,0)</f>
        <v>G33115</v>
      </c>
      <c r="AP485" s="487" t="str">
        <f>+VLOOKUP($AJ485,Data_Validation!$A:$D,3,0)</f>
        <v>Bilan</v>
      </c>
      <c r="AQ485" s="487" t="str">
        <f>+VLOOKUP($AJ485,Data_Validation!$A:$D,4,0)</f>
        <v>Autres Courus</v>
      </c>
      <c r="AR485" s="487" t="s">
        <v>299</v>
      </c>
      <c r="AS485" s="487">
        <f>+VLOOKUP($AJ485,Data_Validation!$A:$E,5,0)</f>
        <v>0</v>
      </c>
      <c r="AT485" s="904" t="str">
        <f t="shared" si="45"/>
        <v>G33115</v>
      </c>
      <c r="AU485" s="488" t="str">
        <f t="shared" si="46"/>
        <v>PROVISION LMB</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1147</v>
      </c>
      <c r="B486" s="706">
        <v>2025</v>
      </c>
      <c r="C486" s="706" t="s">
        <v>2177</v>
      </c>
      <c r="D486" s="706" t="s">
        <v>2178</v>
      </c>
      <c r="E486" s="706" t="s">
        <v>1138</v>
      </c>
      <c r="F486" s="706" t="s">
        <v>1134</v>
      </c>
      <c r="G486" s="706">
        <v>7704.1</v>
      </c>
      <c r="H486" s="706">
        <v>8204.1</v>
      </c>
      <c r="I486" s="706">
        <v>8454.1</v>
      </c>
      <c r="J486" s="706">
        <v>16454.099999999999</v>
      </c>
      <c r="K486" s="706">
        <v>18579.099999999999</v>
      </c>
      <c r="L486" s="706">
        <v>19704.099999999999</v>
      </c>
      <c r="M486" s="706">
        <v>4704.1000000000004</v>
      </c>
      <c r="N486" s="706">
        <v>6204.1</v>
      </c>
      <c r="O486" s="706">
        <v>6454.1</v>
      </c>
      <c r="P486" s="706">
        <v>22925.79</v>
      </c>
      <c r="Q486" s="706">
        <v>3925.81</v>
      </c>
      <c r="R486" s="706">
        <v>575</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G33150</v>
      </c>
      <c r="AK486" s="905" t="str">
        <f t="shared" si="49"/>
        <v>SIMPLICITÉ RABAIS À PAYER</v>
      </c>
      <c r="AL486" s="905">
        <f>IFERROR(INDEX(G486:R486,1,MATCH(Parametres!$B$3,G$1:R$1,0)-1)*IF(OR(F486="L",F486="S",F486="I"),-1,1),"")</f>
        <v>-3925.81</v>
      </c>
      <c r="AM486" s="905">
        <f t="shared" si="44"/>
        <v>3350.81</v>
      </c>
      <c r="AN486" s="905">
        <f>INDEX(G486:R486,1,MATCH(Parametres!$B$3,G$1:R$1,0))*IF(OR(F486="L",F486="S",F486="I"),-1,1)</f>
        <v>-575</v>
      </c>
      <c r="AO486" s="487" t="str">
        <f>+VLOOKUP($AJ486,Data_Validation!$A:$D,1,0)</f>
        <v>G33150</v>
      </c>
      <c r="AP486" s="487" t="str">
        <f>+VLOOKUP($AJ486,Data_Validation!$A:$D,3,0)</f>
        <v>Bilan</v>
      </c>
      <c r="AQ486" s="487" t="str">
        <f>+VLOOKUP($AJ486,Data_Validation!$A:$D,4,0)</f>
        <v>Autres Courus</v>
      </c>
      <c r="AR486" s="487" t="s">
        <v>299</v>
      </c>
      <c r="AS486" s="487">
        <f>+VLOOKUP($AJ486,Data_Validation!$A:$E,5,0)</f>
        <v>0</v>
      </c>
      <c r="AT486" s="904" t="str">
        <f t="shared" si="45"/>
        <v>G33150</v>
      </c>
      <c r="AU486" s="488" t="str">
        <f t="shared" si="46"/>
        <v>SIMPLICITÉ RABAIS À PAYER</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customHeight="1">
      <c r="A487" s="706" t="s">
        <v>1147</v>
      </c>
      <c r="B487" s="706">
        <v>2025</v>
      </c>
      <c r="C487" s="706" t="s">
        <v>2179</v>
      </c>
      <c r="D487" s="706" t="s">
        <v>2180</v>
      </c>
      <c r="E487" s="706" t="s">
        <v>333</v>
      </c>
      <c r="F487" s="706" t="s">
        <v>1134</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G33200</v>
      </c>
      <c r="AK487" s="905" t="str">
        <f t="shared" si="49"/>
        <v>RACHAT ACTIONS PRIVILEGIE</v>
      </c>
      <c r="AL487" s="905">
        <f>IFERROR(INDEX(G487:R487,1,MATCH(Parametres!$B$3,G$1:R$1,0)-1)*IF(OR(F487="L",F487="S",F487="I"),-1,1),"")</f>
        <v>0</v>
      </c>
      <c r="AM487" s="905">
        <f t="shared" si="44"/>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t="str">
        <f t="shared" si="45"/>
        <v>G33200</v>
      </c>
      <c r="AU487" s="488" t="str">
        <f t="shared" si="46"/>
        <v>RACHAT ACTIONS PRIVILEGIE</v>
      </c>
      <c r="AV487" s="899">
        <f>IFERROR(INDEX(V487:AG487,1,MATCH(Parametres!$B$3,V$1:AG$1,0)-1)*IF(OR(C487="L",C487="S",C487="I"),-1,1),"")</f>
        <v>0</v>
      </c>
      <c r="AW487" s="899">
        <f t="shared" si="47"/>
        <v>0</v>
      </c>
      <c r="AX487" s="899">
        <f>INDEX(V487:AG487,1,MATCH(Parametres!$B$3,V$1:AG$1,0))*IF(OR(C487="L",C487="S",C487="I"),-1,1)</f>
        <v>0</v>
      </c>
      <c r="AY487" s="487" t="s">
        <v>337</v>
      </c>
      <c r="AZ487" s="487" t="e">
        <f>+VLOOKUP($AJ487,Data_Validation!$A:$E,5,0)</f>
        <v>#N/A</v>
      </c>
    </row>
    <row r="488" spans="1:52" ht="15" hidden="1" customHeight="1">
      <c r="A488" s="706" t="s">
        <v>1147</v>
      </c>
      <c r="B488" s="706">
        <v>2025</v>
      </c>
      <c r="C488" s="706" t="s">
        <v>2181</v>
      </c>
      <c r="D488" s="706" t="s">
        <v>2182</v>
      </c>
      <c r="E488" s="706" t="s">
        <v>333</v>
      </c>
      <c r="F488" s="706" t="s">
        <v>1134</v>
      </c>
      <c r="G488" s="706">
        <v>1530</v>
      </c>
      <c r="H488" s="706">
        <v>1530</v>
      </c>
      <c r="I488" s="706">
        <v>1530</v>
      </c>
      <c r="J488" s="706">
        <v>1530</v>
      </c>
      <c r="K488" s="706">
        <v>1530</v>
      </c>
      <c r="L488" s="706">
        <v>-30962</v>
      </c>
      <c r="M488" s="706">
        <v>-30962</v>
      </c>
      <c r="N488" s="706">
        <v>-30962</v>
      </c>
      <c r="O488" s="706">
        <v>-30962</v>
      </c>
      <c r="P488" s="706">
        <v>-30962</v>
      </c>
      <c r="Q488" s="706">
        <v>-30962</v>
      </c>
      <c r="R488" s="706">
        <v>88167</v>
      </c>
      <c r="S488" s="706">
        <v>0</v>
      </c>
      <c r="T488" s="706">
        <v>0</v>
      </c>
      <c r="U488" s="706">
        <v>119129</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G33300</v>
      </c>
      <c r="AK488" s="905" t="str">
        <f t="shared" si="49"/>
        <v>ACTIF D'IMPOTS FUTURS</v>
      </c>
      <c r="AL488" s="905">
        <f>IFERROR(INDEX(G488:R488,1,MATCH(Parametres!$B$3,G$1:R$1,0)-1)*IF(OR(F488="L",F488="S",F488="I"),-1,1),"")</f>
        <v>30962</v>
      </c>
      <c r="AM488" s="905">
        <f t="shared" si="44"/>
        <v>-119129</v>
      </c>
      <c r="AN488" s="905">
        <f>INDEX(G488:R488,1,MATCH(Parametres!$B$3,G$1:R$1,0))*IF(OR(F488="L",F488="S",F488="I"),-1,1)</f>
        <v>-88167</v>
      </c>
      <c r="AO488" s="487" t="str">
        <f>+VLOOKUP($AJ488,Data_Validation!$A:$D,1,0)</f>
        <v>G33300</v>
      </c>
      <c r="AP488" s="487" t="str">
        <f>+VLOOKUP($AJ488,Data_Validation!$A:$D,3,0)</f>
        <v>Bilan</v>
      </c>
      <c r="AQ488" s="487" t="str">
        <f>+VLOOKUP($AJ488,Data_Validation!$A:$D,4,0)</f>
        <v>Impôts Futurs à payer</v>
      </c>
      <c r="AR488" s="487" t="s">
        <v>299</v>
      </c>
      <c r="AS488" s="487">
        <f>+VLOOKUP($AJ488,Data_Validation!$A:$E,5,0)</f>
        <v>0</v>
      </c>
      <c r="AT488" s="904" t="str">
        <f t="shared" si="45"/>
        <v>G33300</v>
      </c>
      <c r="AU488" s="488" t="str">
        <f t="shared" si="46"/>
        <v>ACTIF D'IMPOTS FUTURS</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1147</v>
      </c>
      <c r="B489" s="706">
        <v>2025</v>
      </c>
      <c r="C489" s="706" t="s">
        <v>2183</v>
      </c>
      <c r="D489" s="706" t="s">
        <v>2184</v>
      </c>
      <c r="E489" s="706" t="s">
        <v>333</v>
      </c>
      <c r="F489" s="706" t="s">
        <v>1134</v>
      </c>
      <c r="G489" s="706">
        <v>3697580.28</v>
      </c>
      <c r="H489" s="706">
        <v>3697580.28</v>
      </c>
      <c r="I489" s="706">
        <v>3697580.28</v>
      </c>
      <c r="J489" s="706">
        <v>3697580.28</v>
      </c>
      <c r="K489" s="706">
        <v>3697580.28</v>
      </c>
      <c r="L489" s="706">
        <v>3697580.28</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G33400</v>
      </c>
      <c r="AK489" s="905" t="str">
        <f t="shared" si="49"/>
        <v>MARGE DE CRÉDIT &amp; LOYER</v>
      </c>
      <c r="AL489" s="905">
        <f>IFERROR(INDEX(G489:R489,1,MATCH(Parametres!$B$3,G$1:R$1,0)-1)*IF(OR(F489="L",F489="S",F489="I"),-1,1),"")</f>
        <v>0</v>
      </c>
      <c r="AM489" s="905">
        <f t="shared" si="44"/>
        <v>0</v>
      </c>
      <c r="AN489" s="905">
        <f>INDEX(G489:R489,1,MATCH(Parametres!$B$3,G$1:R$1,0))*IF(OR(F489="L",F489="S",F489="I"),-1,1)</f>
        <v>0</v>
      </c>
      <c r="AO489" s="487" t="str">
        <f>+VLOOKUP($AJ489,Data_Validation!$A:$D,1,0)</f>
        <v>G33400</v>
      </c>
      <c r="AP489" s="487" t="str">
        <f>+VLOOKUP($AJ489,Data_Validation!$A:$D,3,0)</f>
        <v>Bilan</v>
      </c>
      <c r="AQ489" s="487" t="str">
        <f>+VLOOKUP($AJ489,Data_Validation!$A:$D,4,0)</f>
        <v>Marge de crédit</v>
      </c>
      <c r="AR489" s="487" t="s">
        <v>299</v>
      </c>
      <c r="AS489" s="487">
        <f>+VLOOKUP($AJ489,Data_Validation!$A:$E,5,0)</f>
        <v>0</v>
      </c>
      <c r="AT489" s="904" t="str">
        <f t="shared" si="45"/>
        <v>G33400</v>
      </c>
      <c r="AU489" s="488" t="str">
        <f t="shared" si="46"/>
        <v>MARGE DE CRÉDIT &amp; LOYER</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1147</v>
      </c>
      <c r="B490" s="706">
        <v>2025</v>
      </c>
      <c r="C490" s="706" t="s">
        <v>2185</v>
      </c>
      <c r="D490" s="706" t="s">
        <v>2186</v>
      </c>
      <c r="E490" s="706" t="s">
        <v>333</v>
      </c>
      <c r="F490" s="706" t="s">
        <v>1134</v>
      </c>
      <c r="G490" s="706">
        <v>-101027</v>
      </c>
      <c r="H490" s="706">
        <v>-101027</v>
      </c>
      <c r="I490" s="706">
        <v>-101027</v>
      </c>
      <c r="J490" s="706">
        <v>-101027</v>
      </c>
      <c r="K490" s="706">
        <v>-101027</v>
      </c>
      <c r="L490" s="706">
        <v>-62787</v>
      </c>
      <c r="M490" s="706">
        <v>-62787</v>
      </c>
      <c r="N490" s="706">
        <v>-62787</v>
      </c>
      <c r="O490" s="706">
        <v>-62787</v>
      </c>
      <c r="P490" s="706">
        <v>-62787</v>
      </c>
      <c r="Q490" s="706">
        <v>-62787</v>
      </c>
      <c r="R490" s="706">
        <v>-156705</v>
      </c>
      <c r="S490" s="706">
        <v>0</v>
      </c>
      <c r="T490" s="706">
        <v>0</v>
      </c>
      <c r="U490" s="706">
        <v>-93918</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G33600</v>
      </c>
      <c r="AK490" s="905" t="str">
        <f t="shared" si="49"/>
        <v>RRI</v>
      </c>
      <c r="AL490" s="905">
        <f>IFERROR(INDEX(G490:R490,1,MATCH(Parametres!$B$3,G$1:R$1,0)-1)*IF(OR(F490="L",F490="S",F490="I"),-1,1),"")</f>
        <v>62787</v>
      </c>
      <c r="AM490" s="905">
        <f t="shared" si="44"/>
        <v>93918</v>
      </c>
      <c r="AN490" s="905">
        <f>INDEX(G490:R490,1,MATCH(Parametres!$B$3,G$1:R$1,0))*IF(OR(F490="L",F490="S",F490="I"),-1,1)</f>
        <v>156705</v>
      </c>
      <c r="AO490" s="487" t="str">
        <f>+VLOOKUP($AJ490,Data_Validation!$A:$D,1,0)</f>
        <v>G33600</v>
      </c>
      <c r="AP490" s="487" t="str">
        <f>+VLOOKUP($AJ490,Data_Validation!$A:$D,3,0)</f>
        <v>Bilan</v>
      </c>
      <c r="AQ490" s="487" t="str">
        <f>+VLOOKUP($AJ490,Data_Validation!$A:$D,4,0)</f>
        <v>Frais Payés d'Avance</v>
      </c>
      <c r="AR490" s="487" t="s">
        <v>299</v>
      </c>
      <c r="AS490" s="487">
        <f>+VLOOKUP($AJ490,Data_Validation!$A:$E,5,0)</f>
        <v>0</v>
      </c>
      <c r="AT490" s="904" t="str">
        <f t="shared" si="45"/>
        <v>G33600</v>
      </c>
      <c r="AU490" s="488" t="str">
        <f t="shared" si="46"/>
        <v>RRI</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customHeight="1">
      <c r="A491" s="706" t="s">
        <v>1147</v>
      </c>
      <c r="B491" s="706">
        <v>2025</v>
      </c>
      <c r="C491" s="706" t="s">
        <v>2187</v>
      </c>
      <c r="D491" s="706" t="s">
        <v>2188</v>
      </c>
      <c r="E491" s="706" t="s">
        <v>333</v>
      </c>
      <c r="F491" s="706" t="s">
        <v>1134</v>
      </c>
      <c r="G491" s="706">
        <v>0</v>
      </c>
      <c r="H491" s="706">
        <v>0</v>
      </c>
      <c r="I491" s="706">
        <v>0</v>
      </c>
      <c r="J491" s="706">
        <v>0</v>
      </c>
      <c r="K491" s="706">
        <v>0</v>
      </c>
      <c r="L491" s="706">
        <v>0</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G34000</v>
      </c>
      <c r="AK491" s="905" t="str">
        <f t="shared" si="49"/>
        <v>PROV.CREANCES DOUTEUSES</v>
      </c>
      <c r="AL491" s="905">
        <f>IFERROR(INDEX(G491:R491,1,MATCH(Parametres!$B$3,G$1:R$1,0)-1)*IF(OR(F491="L",F491="S",F491="I"),-1,1),"")</f>
        <v>0</v>
      </c>
      <c r="AM491" s="905">
        <f t="shared" si="44"/>
        <v>0</v>
      </c>
      <c r="AN491" s="905">
        <f>INDEX(G491:R491,1,MATCH(Parametres!$B$3,G$1:R$1,0))*IF(OR(F491="L",F491="S",F491="I"),-1,1)</f>
        <v>0</v>
      </c>
      <c r="AO491" s="487" t="str">
        <f>+VLOOKUP($AJ491,Data_Validation!$A:$D,1,0)</f>
        <v>G34000</v>
      </c>
      <c r="AP491" s="487">
        <f>+VLOOKUP($AJ491,Data_Validation!$A:$D,3,0)</f>
        <v>0</v>
      </c>
      <c r="AQ491" s="487">
        <f>+VLOOKUP($AJ491,Data_Validation!$A:$D,4,0)</f>
        <v>0</v>
      </c>
      <c r="AR491" s="487" t="s">
        <v>299</v>
      </c>
      <c r="AS491" s="487">
        <f>+VLOOKUP($AJ491,Data_Validation!$A:$E,5,0)</f>
        <v>0</v>
      </c>
      <c r="AT491" s="904" t="str">
        <f t="shared" si="45"/>
        <v>G34000</v>
      </c>
      <c r="AU491" s="488" t="str">
        <f t="shared" si="46"/>
        <v>PROV.CREANCES DOUTEUSES</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1147</v>
      </c>
      <c r="B492" s="706">
        <v>2025</v>
      </c>
      <c r="C492" s="706" t="s">
        <v>2189</v>
      </c>
      <c r="D492" s="706" t="s">
        <v>2190</v>
      </c>
      <c r="E492" s="706" t="s">
        <v>333</v>
      </c>
      <c r="F492" s="706" t="s">
        <v>1134</v>
      </c>
      <c r="G492" s="706">
        <v>1338981.1200000001</v>
      </c>
      <c r="H492" s="706">
        <v>1344010.98</v>
      </c>
      <c r="I492" s="706">
        <v>1349040.84</v>
      </c>
      <c r="J492" s="706">
        <v>1354070.7</v>
      </c>
      <c r="K492" s="706">
        <v>1359100.56</v>
      </c>
      <c r="L492" s="706">
        <v>1364130.42</v>
      </c>
      <c r="M492" s="706">
        <v>1369160.28</v>
      </c>
      <c r="N492" s="706">
        <v>1374190.14</v>
      </c>
      <c r="O492" s="706">
        <v>1379220</v>
      </c>
      <c r="P492" s="706">
        <v>1384249.86</v>
      </c>
      <c r="Q492" s="706">
        <v>1389279.72</v>
      </c>
      <c r="R492" s="706">
        <v>1400645.58</v>
      </c>
      <c r="S492" s="706">
        <v>0</v>
      </c>
      <c r="T492" s="706">
        <v>0</v>
      </c>
      <c r="U492" s="706">
        <v>6336</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G35200</v>
      </c>
      <c r="AK492" s="905" t="str">
        <f t="shared" si="49"/>
        <v>AMORT.ACC.MACHINERIE,EQUI</v>
      </c>
      <c r="AL492" s="905">
        <f>IFERROR(INDEX(G492:R492,1,MATCH(Parametres!$B$3,G$1:R$1,0)-1)*IF(OR(F492="L",F492="S",F492="I"),-1,1),"")</f>
        <v>-1389279.72</v>
      </c>
      <c r="AM492" s="905">
        <f t="shared" si="44"/>
        <v>-11365.860000000102</v>
      </c>
      <c r="AN492" s="905">
        <f>INDEX(G492:R492,1,MATCH(Parametres!$B$3,G$1:R$1,0))*IF(OR(F492="L",F492="S",F492="I"),-1,1)</f>
        <v>-1400645.58</v>
      </c>
      <c r="AO492" s="487" t="str">
        <f>+VLOOKUP($AJ492,Data_Validation!$A:$D,1,0)</f>
        <v>G35200</v>
      </c>
      <c r="AP492" s="487" t="str">
        <f>+VLOOKUP($AJ492,Data_Validation!$A:$D,3,0)</f>
        <v>Bilan</v>
      </c>
      <c r="AQ492" s="487" t="str">
        <f>+VLOOKUP($AJ492,Data_Validation!$A:$D,4,0)</f>
        <v>Équipements Service</v>
      </c>
      <c r="AR492" s="487" t="s">
        <v>299</v>
      </c>
      <c r="AS492" s="487">
        <f>+VLOOKUP($AJ492,Data_Validation!$A:$E,5,0)</f>
        <v>0</v>
      </c>
      <c r="AT492" s="904" t="str">
        <f t="shared" si="45"/>
        <v>G35200</v>
      </c>
      <c r="AU492" s="488" t="str">
        <f t="shared" si="46"/>
        <v>AMORT.ACC.MACHINERIE,EQUI</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1147</v>
      </c>
      <c r="B493" s="706">
        <v>2025</v>
      </c>
      <c r="C493" s="706" t="s">
        <v>2193</v>
      </c>
      <c r="D493" s="706" t="s">
        <v>2194</v>
      </c>
      <c r="E493" s="706" t="s">
        <v>333</v>
      </c>
      <c r="F493" s="706" t="s">
        <v>1134</v>
      </c>
      <c r="G493" s="706">
        <v>1509.83</v>
      </c>
      <c r="H493" s="706">
        <v>1604.19</v>
      </c>
      <c r="I493" s="706">
        <v>1698.55</v>
      </c>
      <c r="J493" s="706">
        <v>1792.91</v>
      </c>
      <c r="K493" s="706">
        <v>1887.27</v>
      </c>
      <c r="L493" s="706">
        <v>500.63</v>
      </c>
      <c r="M493" s="706">
        <v>594.99</v>
      </c>
      <c r="N493" s="706">
        <v>689.35</v>
      </c>
      <c r="O493" s="706">
        <v>783.71</v>
      </c>
      <c r="P493" s="706">
        <v>878.07</v>
      </c>
      <c r="Q493" s="706">
        <v>972.43</v>
      </c>
      <c r="R493" s="706">
        <v>-65.210000000000036</v>
      </c>
      <c r="S493" s="706">
        <v>0</v>
      </c>
      <c r="T493" s="706">
        <v>0</v>
      </c>
      <c r="U493" s="706">
        <v>-1132</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G35300</v>
      </c>
      <c r="AK493" s="905" t="str">
        <f t="shared" si="49"/>
        <v>AMORT.PNEUSACC.DEMO/COURT</v>
      </c>
      <c r="AL493" s="905">
        <f>IFERROR(INDEX(G493:R493,1,MATCH(Parametres!$B$3,G$1:R$1,0)-1)*IF(OR(F493="L",F493="S",F493="I"),-1,1),"")</f>
        <v>-972.43</v>
      </c>
      <c r="AM493" s="905">
        <f t="shared" si="44"/>
        <v>1037.6399999999999</v>
      </c>
      <c r="AN493" s="905">
        <f>INDEX(G493:R493,1,MATCH(Parametres!$B$3,G$1:R$1,0))*IF(OR(F493="L",F493="S",F493="I"),-1,1)</f>
        <v>65.210000000000036</v>
      </c>
      <c r="AO493" s="487" t="str">
        <f>+VLOOKUP($AJ493,Data_Validation!$A:$D,1,0)</f>
        <v>G35300</v>
      </c>
      <c r="AP493" s="487" t="str">
        <f>+VLOOKUP($AJ493,Data_Validation!$A:$D,3,0)</f>
        <v>Bilan</v>
      </c>
      <c r="AQ493" s="487" t="str">
        <f>+VLOOKUP($AJ493,Data_Validation!$A:$D,4,0)</f>
        <v>Équipements Service</v>
      </c>
      <c r="AR493" s="487" t="s">
        <v>299</v>
      </c>
      <c r="AS493" s="487">
        <f>+VLOOKUP($AJ493,Data_Validation!$A:$E,5,0)</f>
        <v>0</v>
      </c>
      <c r="AT493" s="904" t="str">
        <f t="shared" si="45"/>
        <v>G35300</v>
      </c>
      <c r="AU493" s="488" t="str">
        <f t="shared" si="46"/>
        <v>AMORT.PNEUSACC.DEMO/COURT</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1147</v>
      </c>
      <c r="B494" s="706">
        <v>2025</v>
      </c>
      <c r="C494" s="706" t="s">
        <v>2195</v>
      </c>
      <c r="D494" s="706" t="s">
        <v>2196</v>
      </c>
      <c r="E494" s="706" t="s">
        <v>333</v>
      </c>
      <c r="F494" s="706" t="s">
        <v>1134</v>
      </c>
      <c r="G494" s="706">
        <v>305924.71000000002</v>
      </c>
      <c r="H494" s="706">
        <v>306749.67</v>
      </c>
      <c r="I494" s="706">
        <v>307574.63</v>
      </c>
      <c r="J494" s="706">
        <v>308399.59000000003</v>
      </c>
      <c r="K494" s="706">
        <v>309224.55</v>
      </c>
      <c r="L494" s="706">
        <v>310049.51</v>
      </c>
      <c r="M494" s="706">
        <v>310874.46999999997</v>
      </c>
      <c r="N494" s="706">
        <v>311699.43</v>
      </c>
      <c r="O494" s="706">
        <v>312524.39</v>
      </c>
      <c r="P494" s="706">
        <v>313349.34999999998</v>
      </c>
      <c r="Q494" s="706">
        <v>314174.31</v>
      </c>
      <c r="R494" s="706">
        <v>316147.27</v>
      </c>
      <c r="S494" s="706">
        <v>0</v>
      </c>
      <c r="T494" s="706">
        <v>0</v>
      </c>
      <c r="U494" s="706">
        <v>1148</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G35400</v>
      </c>
      <c r="AK494" s="905" t="str">
        <f t="shared" si="49"/>
        <v>AMORT.ACC.&amp; EQUIP.BUR</v>
      </c>
      <c r="AL494" s="905">
        <f>IFERROR(INDEX(G494:R494,1,MATCH(Parametres!$B$3,G$1:R$1,0)-1)*IF(OR(F494="L",F494="S",F494="I"),-1,1),"")</f>
        <v>-314174.31</v>
      </c>
      <c r="AM494" s="905">
        <f t="shared" si="44"/>
        <v>-1972.960000000021</v>
      </c>
      <c r="AN494" s="905">
        <f>INDEX(G494:R494,1,MATCH(Parametres!$B$3,G$1:R$1,0))*IF(OR(F494="L",F494="S",F494="I"),-1,1)</f>
        <v>-316147.27</v>
      </c>
      <c r="AO494" s="487" t="str">
        <f>+VLOOKUP($AJ494,Data_Validation!$A:$D,1,0)</f>
        <v>G35400</v>
      </c>
      <c r="AP494" s="487" t="str">
        <f>+VLOOKUP($AJ494,Data_Validation!$A:$D,3,0)</f>
        <v>Bilan</v>
      </c>
      <c r="AQ494" s="487" t="str">
        <f>+VLOOKUP($AJ494,Data_Validation!$A:$D,4,0)</f>
        <v>Mobilier</v>
      </c>
      <c r="AR494" s="487" t="s">
        <v>299</v>
      </c>
      <c r="AS494" s="487">
        <f>+VLOOKUP($AJ494,Data_Validation!$A:$E,5,0)</f>
        <v>0</v>
      </c>
      <c r="AT494" s="904" t="str">
        <f t="shared" si="45"/>
        <v>G35400</v>
      </c>
      <c r="AU494" s="488" t="str">
        <f t="shared" si="46"/>
        <v>AMORT.ACC.&amp; EQUIP.BUR</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1147</v>
      </c>
      <c r="B495" s="706">
        <v>2025</v>
      </c>
      <c r="C495" s="706" t="s">
        <v>2197</v>
      </c>
      <c r="D495" s="706" t="s">
        <v>2198</v>
      </c>
      <c r="E495" s="706" t="s">
        <v>333</v>
      </c>
      <c r="F495" s="706" t="s">
        <v>1134</v>
      </c>
      <c r="G495" s="706">
        <v>57442.75</v>
      </c>
      <c r="H495" s="706">
        <v>59182.11</v>
      </c>
      <c r="I495" s="706">
        <v>60921.47</v>
      </c>
      <c r="J495" s="706">
        <v>62660.83</v>
      </c>
      <c r="K495" s="706">
        <v>64400.19</v>
      </c>
      <c r="L495" s="706">
        <v>66139.55</v>
      </c>
      <c r="M495" s="706">
        <v>67878.91</v>
      </c>
      <c r="N495" s="706">
        <v>69618.27</v>
      </c>
      <c r="O495" s="706">
        <v>71357.63</v>
      </c>
      <c r="P495" s="706">
        <v>73096.990000000005</v>
      </c>
      <c r="Q495" s="706">
        <v>74836.350000000006</v>
      </c>
      <c r="R495" s="706">
        <v>76575.710000000006</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G35500</v>
      </c>
      <c r="AK495" s="905" t="str">
        <f t="shared" si="49"/>
        <v>AMORT.CUMULE VEHICULE SER</v>
      </c>
      <c r="AL495" s="905">
        <f>IFERROR(INDEX(G495:R495,1,MATCH(Parametres!$B$3,G$1:R$1,0)-1)*IF(OR(F495="L",F495="S",F495="I"),-1,1),"")</f>
        <v>-74836.350000000006</v>
      </c>
      <c r="AM495" s="905">
        <f t="shared" si="44"/>
        <v>-1739.3600000000006</v>
      </c>
      <c r="AN495" s="905">
        <f>INDEX(G495:R495,1,MATCH(Parametres!$B$3,G$1:R$1,0))*IF(OR(F495="L",F495="S",F495="I"),-1,1)</f>
        <v>-76575.710000000006</v>
      </c>
      <c r="AO495" s="487" t="str">
        <f>+VLOOKUP($AJ495,Data_Validation!$A:$D,1,0)</f>
        <v>G35500</v>
      </c>
      <c r="AP495" s="487" t="str">
        <f>+VLOOKUP($AJ495,Data_Validation!$A:$D,3,0)</f>
        <v>Bilan</v>
      </c>
      <c r="AQ495" s="487" t="str">
        <f>+VLOOKUP($AJ495,Data_Validation!$A:$D,4,0)</f>
        <v>Équipements Service</v>
      </c>
      <c r="AR495" s="487" t="s">
        <v>299</v>
      </c>
      <c r="AS495" s="487">
        <f>+VLOOKUP($AJ495,Data_Validation!$A:$E,5,0)</f>
        <v>0</v>
      </c>
      <c r="AT495" s="904" t="str">
        <f t="shared" si="45"/>
        <v>G35500</v>
      </c>
      <c r="AU495" s="488" t="str">
        <f t="shared" si="46"/>
        <v>AMORT.CUMULE VEHICULE SER</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1147</v>
      </c>
      <c r="B496" s="706">
        <v>2025</v>
      </c>
      <c r="C496" s="706" t="s">
        <v>2199</v>
      </c>
      <c r="D496" s="706" t="s">
        <v>2200</v>
      </c>
      <c r="E496" s="706" t="s">
        <v>333</v>
      </c>
      <c r="F496" s="706" t="s">
        <v>1134</v>
      </c>
      <c r="G496" s="706">
        <v>36567.360000000001</v>
      </c>
      <c r="H496" s="706">
        <v>38757.5</v>
      </c>
      <c r="I496" s="706">
        <v>40947.64</v>
      </c>
      <c r="J496" s="706">
        <v>43137.78</v>
      </c>
      <c r="K496" s="706">
        <v>45327.92</v>
      </c>
      <c r="L496" s="706">
        <v>47518.06</v>
      </c>
      <c r="M496" s="706">
        <v>49708.2</v>
      </c>
      <c r="N496" s="706">
        <v>51898.34</v>
      </c>
      <c r="O496" s="706">
        <v>54088.480000000003</v>
      </c>
      <c r="P496" s="706">
        <v>56278.62</v>
      </c>
      <c r="Q496" s="706">
        <v>58468.76</v>
      </c>
      <c r="R496" s="706">
        <v>73402.899999999994</v>
      </c>
      <c r="S496" s="706">
        <v>0</v>
      </c>
      <c r="T496" s="706">
        <v>0</v>
      </c>
      <c r="U496" s="706">
        <v>12744</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G35600</v>
      </c>
      <c r="AK496" s="905" t="str">
        <f t="shared" si="49"/>
        <v>AMORT.ACC.AMEL. LOCAT.</v>
      </c>
      <c r="AL496" s="905">
        <f>IFERROR(INDEX(G496:R496,1,MATCH(Parametres!$B$3,G$1:R$1,0)-1)*IF(OR(F496="L",F496="S",F496="I"),-1,1),"")</f>
        <v>-58468.76</v>
      </c>
      <c r="AM496" s="905">
        <f t="shared" si="44"/>
        <v>-14934.139999999992</v>
      </c>
      <c r="AN496" s="905">
        <f>INDEX(G496:R496,1,MATCH(Parametres!$B$3,G$1:R$1,0))*IF(OR(F496="L",F496="S",F496="I"),-1,1)</f>
        <v>-73402.899999999994</v>
      </c>
      <c r="AO496" s="487" t="str">
        <f>+VLOOKUP($AJ496,Data_Validation!$A:$D,1,0)</f>
        <v>G35600</v>
      </c>
      <c r="AP496" s="487" t="str">
        <f>+VLOOKUP($AJ496,Data_Validation!$A:$D,3,0)</f>
        <v>Bilan</v>
      </c>
      <c r="AQ496" s="487" t="str">
        <f>+VLOOKUP($AJ496,Data_Validation!$A:$D,4,0)</f>
        <v>Améliorations Locatives</v>
      </c>
      <c r="AR496" s="487" t="s">
        <v>299</v>
      </c>
      <c r="AS496" s="487">
        <f>+VLOOKUP($AJ496,Data_Validation!$A:$E,5,0)</f>
        <v>0</v>
      </c>
      <c r="AT496" s="904" t="str">
        <f t="shared" si="45"/>
        <v>G35600</v>
      </c>
      <c r="AU496" s="488" t="str">
        <f t="shared" si="46"/>
        <v>AMORT.ACC.AMEL. LOCAT.</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1147</v>
      </c>
      <c r="B497" s="706">
        <v>2025</v>
      </c>
      <c r="C497" s="706" t="s">
        <v>2201</v>
      </c>
      <c r="D497" s="706" t="s">
        <v>2202</v>
      </c>
      <c r="E497" s="706" t="s">
        <v>333</v>
      </c>
      <c r="F497" s="706" t="s">
        <v>1134</v>
      </c>
      <c r="G497" s="706">
        <v>178113.07</v>
      </c>
      <c r="H497" s="706">
        <v>178880.89</v>
      </c>
      <c r="I497" s="706">
        <v>179648.71</v>
      </c>
      <c r="J497" s="706">
        <v>180416.53</v>
      </c>
      <c r="K497" s="706">
        <v>181184.35</v>
      </c>
      <c r="L497" s="706">
        <v>181952.17</v>
      </c>
      <c r="M497" s="706">
        <v>182719.99</v>
      </c>
      <c r="N497" s="706">
        <v>183487.81</v>
      </c>
      <c r="O497" s="706">
        <v>184255.63</v>
      </c>
      <c r="P497" s="706">
        <v>185023.45</v>
      </c>
      <c r="Q497" s="706">
        <v>185791.27</v>
      </c>
      <c r="R497" s="706">
        <v>197455.09</v>
      </c>
      <c r="S497" s="706">
        <v>0</v>
      </c>
      <c r="T497" s="706">
        <v>0</v>
      </c>
      <c r="U497" s="706">
        <v>10896</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G35700</v>
      </c>
      <c r="AK497" s="905" t="str">
        <f t="shared" si="49"/>
        <v>AMORT. MATERIEL INFORM.</v>
      </c>
      <c r="AL497" s="905">
        <f>IFERROR(INDEX(G497:R497,1,MATCH(Parametres!$B$3,G$1:R$1,0)-1)*IF(OR(F497="L",F497="S",F497="I"),-1,1),"")</f>
        <v>-185791.27</v>
      </c>
      <c r="AM497" s="905">
        <f t="shared" si="44"/>
        <v>-11663.820000000007</v>
      </c>
      <c r="AN497" s="905">
        <f>INDEX(G497:R497,1,MATCH(Parametres!$B$3,G$1:R$1,0))*IF(OR(F497="L",F497="S",F497="I"),-1,1)</f>
        <v>-197455.09</v>
      </c>
      <c r="AO497" s="487" t="str">
        <f>+VLOOKUP($AJ497,Data_Validation!$A:$D,1,0)</f>
        <v>G35700</v>
      </c>
      <c r="AP497" s="487" t="str">
        <f>+VLOOKUP($AJ497,Data_Validation!$A:$D,3,0)</f>
        <v>Bilan</v>
      </c>
      <c r="AQ497" s="487" t="str">
        <f>+VLOOKUP($AJ497,Data_Validation!$A:$D,4,0)</f>
        <v>Équipements Informatique</v>
      </c>
      <c r="AR497" s="487" t="s">
        <v>299</v>
      </c>
      <c r="AS497" s="487">
        <f>+VLOOKUP($AJ497,Data_Validation!$A:$E,5,0)</f>
        <v>0</v>
      </c>
      <c r="AT497" s="904" t="str">
        <f t="shared" si="45"/>
        <v>G35700</v>
      </c>
      <c r="AU497" s="488" t="str">
        <f t="shared" si="46"/>
        <v>AMORT. MATERIEL INFORM.</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1147</v>
      </c>
      <c r="B498" s="706">
        <v>2025</v>
      </c>
      <c r="C498" s="706" t="s">
        <v>2203</v>
      </c>
      <c r="D498" s="706" t="s">
        <v>2204</v>
      </c>
      <c r="E498" s="706" t="s">
        <v>333</v>
      </c>
      <c r="F498" s="706" t="s">
        <v>1134</v>
      </c>
      <c r="G498" s="706">
        <v>47732.58</v>
      </c>
      <c r="H498" s="706">
        <v>47872.31</v>
      </c>
      <c r="I498" s="706">
        <v>48012.04</v>
      </c>
      <c r="J498" s="706">
        <v>48151.77</v>
      </c>
      <c r="K498" s="706">
        <v>48291.5</v>
      </c>
      <c r="L498" s="706">
        <v>48431.23</v>
      </c>
      <c r="M498" s="706">
        <v>48570.96</v>
      </c>
      <c r="N498" s="706">
        <v>48710.69</v>
      </c>
      <c r="O498" s="706">
        <v>48850.42</v>
      </c>
      <c r="P498" s="706">
        <v>48990.15</v>
      </c>
      <c r="Q498" s="706">
        <v>49129.88</v>
      </c>
      <c r="R498" s="706">
        <v>49269.61</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G35800</v>
      </c>
      <c r="AK498" s="905" t="str">
        <f t="shared" si="49"/>
        <v>AMORT.CUMULÉ ENSEIGNES</v>
      </c>
      <c r="AL498" s="905">
        <f>IFERROR(INDEX(G498:R498,1,MATCH(Parametres!$B$3,G$1:R$1,0)-1)*IF(OR(F498="L",F498="S",F498="I"),-1,1),"")</f>
        <v>-49129.88</v>
      </c>
      <c r="AM498" s="905">
        <f t="shared" si="44"/>
        <v>-139.7300000000032</v>
      </c>
      <c r="AN498" s="905">
        <f>INDEX(G498:R498,1,MATCH(Parametres!$B$3,G$1:R$1,0))*IF(OR(F498="L",F498="S",F498="I"),-1,1)</f>
        <v>-49269.61</v>
      </c>
      <c r="AO498" s="487" t="str">
        <f>+VLOOKUP($AJ498,Data_Validation!$A:$D,1,0)</f>
        <v>G35800</v>
      </c>
      <c r="AP498" s="487" t="str">
        <f>+VLOOKUP($AJ498,Data_Validation!$A:$D,3,0)</f>
        <v>Bilan</v>
      </c>
      <c r="AQ498" s="487" t="str">
        <f>+VLOOKUP($AJ498,Data_Validation!$A:$D,4,0)</f>
        <v>Enseigne</v>
      </c>
      <c r="AR498" s="487" t="s">
        <v>299</v>
      </c>
      <c r="AS498" s="487">
        <f>+VLOOKUP($AJ498,Data_Validation!$A:$E,5,0)</f>
        <v>0</v>
      </c>
      <c r="AT498" s="904" t="str">
        <f t="shared" si="45"/>
        <v>G35800</v>
      </c>
      <c r="AU498" s="488" t="str">
        <f t="shared" si="46"/>
        <v>AMORT.CUMULÉ ENSEIGNES</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customHeight="1">
      <c r="A499" s="706" t="s">
        <v>1147</v>
      </c>
      <c r="B499" s="706">
        <v>2025</v>
      </c>
      <c r="C499" s="706" t="s">
        <v>2205</v>
      </c>
      <c r="D499" s="706" t="s">
        <v>2206</v>
      </c>
      <c r="E499" s="706" t="s">
        <v>333</v>
      </c>
      <c r="F499" s="706" t="s">
        <v>1134</v>
      </c>
      <c r="G499" s="706">
        <v>0</v>
      </c>
      <c r="H499" s="706">
        <v>0</v>
      </c>
      <c r="I499" s="706">
        <v>0</v>
      </c>
      <c r="J499" s="706">
        <v>0</v>
      </c>
      <c r="K499" s="706">
        <v>0</v>
      </c>
      <c r="L499" s="706">
        <v>0</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G35900</v>
      </c>
      <c r="AK499" s="905" t="str">
        <f t="shared" si="49"/>
        <v>ASPHALTE AMORT.CUMULÉ</v>
      </c>
      <c r="AL499" s="905">
        <f>IFERROR(INDEX(G499:R499,1,MATCH(Parametres!$B$3,G$1:R$1,0)-1)*IF(OR(F499="L",F499="S",F499="I"),-1,1),"")</f>
        <v>0</v>
      </c>
      <c r="AM499" s="905">
        <f t="shared" si="44"/>
        <v>0</v>
      </c>
      <c r="AN499" s="905">
        <f>INDEX(G499:R499,1,MATCH(Parametres!$B$3,G$1:R$1,0))*IF(OR(F499="L",F499="S",F499="I"),-1,1)</f>
        <v>0</v>
      </c>
      <c r="AO499" s="487" t="str">
        <f>+VLOOKUP($AJ499,Data_Validation!$A:$D,1,0)</f>
        <v>G35900</v>
      </c>
      <c r="AP499" s="487">
        <f>+VLOOKUP($AJ499,Data_Validation!$A:$D,3,0)</f>
        <v>0</v>
      </c>
      <c r="AQ499" s="487">
        <f>+VLOOKUP($AJ499,Data_Validation!$A:$D,4,0)</f>
        <v>0</v>
      </c>
      <c r="AR499" s="487" t="s">
        <v>299</v>
      </c>
      <c r="AS499" s="487">
        <f>+VLOOKUP($AJ499,Data_Validation!$A:$E,5,0)</f>
        <v>0</v>
      </c>
      <c r="AT499" s="904" t="str">
        <f t="shared" si="45"/>
        <v>G35900</v>
      </c>
      <c r="AU499" s="488" t="str">
        <f t="shared" si="46"/>
        <v>ASPHALTE AMORT.CUMULÉ</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1147</v>
      </c>
      <c r="B500" s="706">
        <v>2025</v>
      </c>
      <c r="C500" s="706" t="s">
        <v>2207</v>
      </c>
      <c r="D500" s="706" t="s">
        <v>2208</v>
      </c>
      <c r="E500" s="706" t="s">
        <v>333</v>
      </c>
      <c r="F500" s="706" t="s">
        <v>1134</v>
      </c>
      <c r="G500" s="706">
        <v>185</v>
      </c>
      <c r="H500" s="706">
        <v>185</v>
      </c>
      <c r="I500" s="706">
        <v>185</v>
      </c>
      <c r="J500" s="706">
        <v>185</v>
      </c>
      <c r="K500" s="706">
        <v>185</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G36000</v>
      </c>
      <c r="AK500" s="905" t="str">
        <f t="shared" si="49"/>
        <v>CAPITAL-ACTIONS</v>
      </c>
      <c r="AL500" s="905">
        <f>IFERROR(INDEX(G500:R500,1,MATCH(Parametres!$B$3,G$1:R$1,0)-1)*IF(OR(F500="L",F500="S",F500="I"),-1,1),"")</f>
        <v>0</v>
      </c>
      <c r="AM500" s="905">
        <f t="shared" si="44"/>
        <v>0</v>
      </c>
      <c r="AN500" s="905">
        <f>INDEX(G500:R500,1,MATCH(Parametres!$B$3,G$1:R$1,0))*IF(OR(F500="L",F500="S",F500="I"),-1,1)</f>
        <v>0</v>
      </c>
      <c r="AO500" s="487" t="str">
        <f>+VLOOKUP($AJ500,Data_Validation!$A:$D,1,0)</f>
        <v>G36000</v>
      </c>
      <c r="AP500" s="487" t="str">
        <f>+VLOOKUP($AJ500,Data_Validation!$A:$D,3,0)</f>
        <v>Bilan</v>
      </c>
      <c r="AQ500" s="487" t="str">
        <f>+VLOOKUP($AJ500,Data_Validation!$A:$D,4,0)</f>
        <v>Capital Actions</v>
      </c>
      <c r="AR500" s="487" t="s">
        <v>299</v>
      </c>
      <c r="AS500" s="487">
        <f>+VLOOKUP($AJ500,Data_Validation!$A:$E,5,0)</f>
        <v>0</v>
      </c>
      <c r="AT500" s="904" t="str">
        <f t="shared" si="45"/>
        <v>G36000</v>
      </c>
      <c r="AU500" s="488" t="str">
        <f t="shared" si="46"/>
        <v>CAPITAL-ACTIONS</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1147</v>
      </c>
      <c r="B501" s="706">
        <v>2025</v>
      </c>
      <c r="C501" s="706" t="s">
        <v>2209</v>
      </c>
      <c r="D501" s="706" t="s">
        <v>2210</v>
      </c>
      <c r="E501" s="706" t="s">
        <v>333</v>
      </c>
      <c r="F501" s="706" t="s">
        <v>1134</v>
      </c>
      <c r="G501" s="706">
        <v>0</v>
      </c>
      <c r="H501" s="706">
        <v>0</v>
      </c>
      <c r="I501" s="706">
        <v>0</v>
      </c>
      <c r="J501" s="706">
        <v>0</v>
      </c>
      <c r="K501" s="706">
        <v>0</v>
      </c>
      <c r="L501" s="706">
        <v>15</v>
      </c>
      <c r="M501" s="706">
        <v>15</v>
      </c>
      <c r="N501" s="706">
        <v>15</v>
      </c>
      <c r="O501" s="706">
        <v>15</v>
      </c>
      <c r="P501" s="706">
        <v>15</v>
      </c>
      <c r="Q501" s="706">
        <v>15</v>
      </c>
      <c r="R501" s="706">
        <v>0</v>
      </c>
      <c r="S501" s="706">
        <v>0</v>
      </c>
      <c r="T501" s="706">
        <v>0</v>
      </c>
      <c r="U501" s="706">
        <v>-15</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G36001</v>
      </c>
      <c r="AK501" s="905" t="str">
        <f t="shared" si="49"/>
        <v>ACTIONS A</v>
      </c>
      <c r="AL501" s="905">
        <f>IFERROR(INDEX(G501:R501,1,MATCH(Parametres!$B$3,G$1:R$1,0)-1)*IF(OR(F501="L",F501="S",F501="I"),-1,1),"")</f>
        <v>-15</v>
      </c>
      <c r="AM501" s="905">
        <f t="shared" si="44"/>
        <v>15</v>
      </c>
      <c r="AN501" s="905">
        <f>INDEX(G501:R501,1,MATCH(Parametres!$B$3,G$1:R$1,0))*IF(OR(F501="L",F501="S",F501="I"),-1,1)</f>
        <v>0</v>
      </c>
      <c r="AO501" s="487" t="str">
        <f>+VLOOKUP($AJ501,Data_Validation!$A:$D,1,0)</f>
        <v>G36001</v>
      </c>
      <c r="AP501" s="487" t="str">
        <f>+VLOOKUP($AJ501,Data_Validation!$A:$D,3,0)</f>
        <v>Bilan</v>
      </c>
      <c r="AQ501" s="487" t="str">
        <f>+VLOOKUP($AJ501,Data_Validation!$A:$D,4,0)</f>
        <v>Capital Actions</v>
      </c>
      <c r="AR501" s="487" t="s">
        <v>299</v>
      </c>
      <c r="AS501" s="487">
        <f>+VLOOKUP($AJ501,Data_Validation!$A:$E,5,0)</f>
        <v>0</v>
      </c>
      <c r="AT501" s="904" t="str">
        <f t="shared" si="45"/>
        <v>G36001</v>
      </c>
      <c r="AU501" s="488" t="str">
        <f t="shared" si="46"/>
        <v>ACTIONS A</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1147</v>
      </c>
      <c r="B502" s="706">
        <v>2025</v>
      </c>
      <c r="C502" s="706" t="s">
        <v>2211</v>
      </c>
      <c r="D502" s="706" t="s">
        <v>2212</v>
      </c>
      <c r="E502" s="706" t="s">
        <v>333</v>
      </c>
      <c r="F502" s="706" t="s">
        <v>1134</v>
      </c>
      <c r="G502" s="706">
        <v>0</v>
      </c>
      <c r="H502" s="706">
        <v>0</v>
      </c>
      <c r="I502" s="706">
        <v>0</v>
      </c>
      <c r="J502" s="706">
        <v>0</v>
      </c>
      <c r="K502" s="706">
        <v>0</v>
      </c>
      <c r="L502" s="706">
        <v>85</v>
      </c>
      <c r="M502" s="706">
        <v>85</v>
      </c>
      <c r="N502" s="706">
        <v>85</v>
      </c>
      <c r="O502" s="706">
        <v>85</v>
      </c>
      <c r="P502" s="706">
        <v>85</v>
      </c>
      <c r="Q502" s="706">
        <v>85</v>
      </c>
      <c r="R502" s="706">
        <v>85</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G36002</v>
      </c>
      <c r="AK502" s="905" t="str">
        <f t="shared" si="49"/>
        <v>ACTIONS B</v>
      </c>
      <c r="AL502" s="905">
        <f>IFERROR(INDEX(G502:R502,1,MATCH(Parametres!$B$3,G$1:R$1,0)-1)*IF(OR(F502="L",F502="S",F502="I"),-1,1),"")</f>
        <v>-85</v>
      </c>
      <c r="AM502" s="905">
        <f t="shared" si="44"/>
        <v>0</v>
      </c>
      <c r="AN502" s="905">
        <f>INDEX(G502:R502,1,MATCH(Parametres!$B$3,G$1:R$1,0))*IF(OR(F502="L",F502="S",F502="I"),-1,1)</f>
        <v>-85</v>
      </c>
      <c r="AO502" s="487" t="str">
        <f>+VLOOKUP($AJ502,Data_Validation!$A:$D,1,0)</f>
        <v>G36002</v>
      </c>
      <c r="AP502" s="487" t="str">
        <f>+VLOOKUP($AJ502,Data_Validation!$A:$D,3,0)</f>
        <v>Bilan</v>
      </c>
      <c r="AQ502" s="487" t="str">
        <f>+VLOOKUP($AJ502,Data_Validation!$A:$D,4,0)</f>
        <v>Capital Actions</v>
      </c>
      <c r="AR502" s="487" t="s">
        <v>299</v>
      </c>
      <c r="AS502" s="487">
        <f>+VLOOKUP($AJ502,Data_Validation!$A:$E,5,0)</f>
        <v>0</v>
      </c>
      <c r="AT502" s="904" t="str">
        <f t="shared" si="45"/>
        <v>G36002</v>
      </c>
      <c r="AU502" s="488" t="str">
        <f t="shared" si="46"/>
        <v>ACTIONS B</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1147</v>
      </c>
      <c r="B503" s="706">
        <v>2025</v>
      </c>
      <c r="C503" s="706" t="s">
        <v>2213</v>
      </c>
      <c r="D503" s="706" t="s">
        <v>2214</v>
      </c>
      <c r="E503" s="706" t="s">
        <v>333</v>
      </c>
      <c r="F503" s="706" t="s">
        <v>1134</v>
      </c>
      <c r="G503" s="706">
        <v>0</v>
      </c>
      <c r="H503" s="706">
        <v>0</v>
      </c>
      <c r="I503" s="706">
        <v>0</v>
      </c>
      <c r="J503" s="706">
        <v>0</v>
      </c>
      <c r="K503" s="706">
        <v>0</v>
      </c>
      <c r="L503" s="706">
        <v>85</v>
      </c>
      <c r="M503" s="706">
        <v>85</v>
      </c>
      <c r="N503" s="706">
        <v>85</v>
      </c>
      <c r="O503" s="706">
        <v>85</v>
      </c>
      <c r="P503" s="706">
        <v>85</v>
      </c>
      <c r="Q503" s="706">
        <v>85</v>
      </c>
      <c r="R503" s="706">
        <v>85</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G36003</v>
      </c>
      <c r="AK503" s="905" t="str">
        <f t="shared" si="49"/>
        <v>ACTIONS C</v>
      </c>
      <c r="AL503" s="905">
        <f>IFERROR(INDEX(G503:R503,1,MATCH(Parametres!$B$3,G$1:R$1,0)-1)*IF(OR(F503="L",F503="S",F503="I"),-1,1),"")</f>
        <v>-85</v>
      </c>
      <c r="AM503" s="905">
        <f t="shared" si="44"/>
        <v>0</v>
      </c>
      <c r="AN503" s="905">
        <f>INDEX(G503:R503,1,MATCH(Parametres!$B$3,G$1:R$1,0))*IF(OR(F503="L",F503="S",F503="I"),-1,1)</f>
        <v>-85</v>
      </c>
      <c r="AO503" s="487" t="str">
        <f>+VLOOKUP($AJ503,Data_Validation!$A:$D,1,0)</f>
        <v>G36003</v>
      </c>
      <c r="AP503" s="487" t="str">
        <f>+VLOOKUP($AJ503,Data_Validation!$A:$D,3,0)</f>
        <v>Bilan</v>
      </c>
      <c r="AQ503" s="487" t="str">
        <f>+VLOOKUP($AJ503,Data_Validation!$A:$D,4,0)</f>
        <v>Capital Actions</v>
      </c>
      <c r="AR503" s="487" t="s">
        <v>299</v>
      </c>
      <c r="AS503" s="487">
        <f>+VLOOKUP($AJ503,Data_Validation!$A:$E,5,0)</f>
        <v>0</v>
      </c>
      <c r="AT503" s="904" t="str">
        <f t="shared" si="45"/>
        <v>G36003</v>
      </c>
      <c r="AU503" s="488" t="str">
        <f t="shared" si="46"/>
        <v>ACTIONS C</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1147</v>
      </c>
      <c r="B504" s="706">
        <v>2025</v>
      </c>
      <c r="C504" s="706" t="s">
        <v>2215</v>
      </c>
      <c r="D504" s="706" t="s">
        <v>2216</v>
      </c>
      <c r="E504" s="706" t="s">
        <v>333</v>
      </c>
      <c r="F504" s="706" t="s">
        <v>1134</v>
      </c>
      <c r="G504" s="706">
        <v>51</v>
      </c>
      <c r="H504" s="706">
        <v>51</v>
      </c>
      <c r="I504" s="706">
        <v>51</v>
      </c>
      <c r="J504" s="706">
        <v>51</v>
      </c>
      <c r="K504" s="706">
        <v>51</v>
      </c>
      <c r="L504" s="706">
        <v>51</v>
      </c>
      <c r="M504" s="706">
        <v>51</v>
      </c>
      <c r="N504" s="706">
        <v>51</v>
      </c>
      <c r="O504" s="706">
        <v>51</v>
      </c>
      <c r="P504" s="706">
        <v>51</v>
      </c>
      <c r="Q504" s="706">
        <v>51</v>
      </c>
      <c r="R504" s="706">
        <v>51</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G36004</v>
      </c>
      <c r="AK504" s="905" t="str">
        <f t="shared" si="49"/>
        <v>ACTIONS E</v>
      </c>
      <c r="AL504" s="905">
        <f>IFERROR(INDEX(G504:R504,1,MATCH(Parametres!$B$3,G$1:R$1,0)-1)*IF(OR(F504="L",F504="S",F504="I"),-1,1),"")</f>
        <v>-51</v>
      </c>
      <c r="AM504" s="905">
        <f t="shared" si="44"/>
        <v>0</v>
      </c>
      <c r="AN504" s="905">
        <f>INDEX(G504:R504,1,MATCH(Parametres!$B$3,G$1:R$1,0))*IF(OR(F504="L",F504="S",F504="I"),-1,1)</f>
        <v>-51</v>
      </c>
      <c r="AO504" s="487" t="str">
        <f>+VLOOKUP($AJ504,Data_Validation!$A:$D,1,0)</f>
        <v>G36004</v>
      </c>
      <c r="AP504" s="487" t="str">
        <f>+VLOOKUP($AJ504,Data_Validation!$A:$D,3,0)</f>
        <v>Bilan</v>
      </c>
      <c r="AQ504" s="487" t="str">
        <f>+VLOOKUP($AJ504,Data_Validation!$A:$D,4,0)</f>
        <v>Capital Actions</v>
      </c>
      <c r="AR504" s="487" t="s">
        <v>299</v>
      </c>
      <c r="AS504" s="487">
        <f>+VLOOKUP($AJ504,Data_Validation!$A:$E,5,0)</f>
        <v>0</v>
      </c>
      <c r="AT504" s="904" t="str">
        <f t="shared" si="45"/>
        <v>G36004</v>
      </c>
      <c r="AU504" s="488" t="str">
        <f t="shared" si="46"/>
        <v>ACTIONS E</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1147</v>
      </c>
      <c r="B505" s="706">
        <v>2025</v>
      </c>
      <c r="C505" s="706" t="s">
        <v>2217</v>
      </c>
      <c r="D505" s="706" t="s">
        <v>2218</v>
      </c>
      <c r="E505" s="706" t="s">
        <v>333</v>
      </c>
      <c r="F505" s="706" t="s">
        <v>1134</v>
      </c>
      <c r="G505" s="706">
        <v>3790100</v>
      </c>
      <c r="H505" s="706">
        <v>3790100</v>
      </c>
      <c r="I505" s="706">
        <v>3790100</v>
      </c>
      <c r="J505" s="706">
        <v>3790100</v>
      </c>
      <c r="K505" s="706">
        <v>3790100</v>
      </c>
      <c r="L505" s="706">
        <v>3790100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G36005</v>
      </c>
      <c r="AK505" s="905" t="str">
        <f t="shared" si="49"/>
        <v>VALEUR RACHETABLE ACT E</v>
      </c>
      <c r="AL505" s="905">
        <f>IFERROR(INDEX(G505:R505,1,MATCH(Parametres!$B$3,G$1:R$1,0)-1)*IF(OR(F505="L",F505="S",F505="I"),-1,1),"")</f>
        <v>0</v>
      </c>
      <c r="AM505" s="905">
        <f t="shared" si="44"/>
        <v>0</v>
      </c>
      <c r="AN505" s="905">
        <f>INDEX(G505:R505,1,MATCH(Parametres!$B$3,G$1:R$1,0))*IF(OR(F505="L",F505="S",F505="I"),-1,1)</f>
        <v>0</v>
      </c>
      <c r="AO505" s="487" t="str">
        <f>+VLOOKUP($AJ505,Data_Validation!$A:$D,1,0)</f>
        <v>G36005</v>
      </c>
      <c r="AP505" s="487" t="str">
        <f>+VLOOKUP($AJ505,Data_Validation!$A:$D,3,0)</f>
        <v>Bilan</v>
      </c>
      <c r="AQ505" s="487" t="str">
        <f>+VLOOKUP($AJ505,Data_Validation!$A:$D,4,0)</f>
        <v>Capital Actions</v>
      </c>
      <c r="AR505" s="487" t="s">
        <v>299</v>
      </c>
      <c r="AS505" s="487">
        <f>+VLOOKUP($AJ505,Data_Validation!$A:$E,5,0)</f>
        <v>0</v>
      </c>
      <c r="AT505" s="904" t="str">
        <f t="shared" si="45"/>
        <v>G36005</v>
      </c>
      <c r="AU505" s="488" t="str">
        <f t="shared" si="46"/>
        <v>VALEUR RACHETABLE ACT E</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hidden="1" customHeight="1">
      <c r="A506" s="706" t="s">
        <v>1147</v>
      </c>
      <c r="B506" s="706">
        <v>2025</v>
      </c>
      <c r="C506" s="706" t="s">
        <v>3154</v>
      </c>
      <c r="F506" s="706" t="s">
        <v>1134</v>
      </c>
      <c r="R506" s="706">
        <v>1349853</v>
      </c>
      <c r="U506" s="706">
        <v>1349853</v>
      </c>
      <c r="AJ506" s="905" t="str">
        <f t="shared" si="48"/>
        <v>G36006</v>
      </c>
      <c r="AK506" s="905">
        <f t="shared" si="49"/>
        <v>0</v>
      </c>
      <c r="AL506" s="905">
        <f>IFERROR(INDEX(G506:R506,1,MATCH(Parametres!$B$3,G$1:R$1,0)-1)*IF(OR(F506="L",F506="S",F506="I"),-1,1),"")</f>
        <v>0</v>
      </c>
      <c r="AM506" s="905">
        <f t="shared" si="44"/>
        <v>-1349853</v>
      </c>
      <c r="AN506" s="905">
        <f>INDEX(G506:R506,1,MATCH(Parametres!$B$3,G$1:R$1,0))*IF(OR(F506="L",F506="S",F506="I"),-1,1)</f>
        <v>-1349853</v>
      </c>
      <c r="AO506" s="487" t="str">
        <f>+VLOOKUP($AJ506,Data_Validation!$A:$D,1,0)</f>
        <v>G36006</v>
      </c>
      <c r="AP506" s="487" t="str">
        <f>+VLOOKUP($AJ506,Data_Validation!$A:$D,3,0)</f>
        <v>Bilan</v>
      </c>
      <c r="AQ506" s="487" t="str">
        <f>+VLOOKUP($AJ506,Data_Validation!$A:$D,4,0)</f>
        <v>Capital Actions</v>
      </c>
      <c r="AR506" s="487" t="s">
        <v>299</v>
      </c>
      <c r="AS506" s="487">
        <f>+VLOOKUP($AJ506,Data_Validation!$A:$E,5,0)</f>
        <v>0</v>
      </c>
      <c r="AT506" s="904" t="str">
        <f t="shared" si="45"/>
        <v>G36006</v>
      </c>
      <c r="AU506" s="488">
        <f t="shared" si="46"/>
        <v>0</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hidden="1" customHeight="1">
      <c r="A507" s="706" t="s">
        <v>1147</v>
      </c>
      <c r="B507" s="706">
        <v>2025</v>
      </c>
      <c r="C507" s="706" t="s">
        <v>2219</v>
      </c>
      <c r="D507" s="706" t="s">
        <v>2220</v>
      </c>
      <c r="E507" s="706" t="s">
        <v>333</v>
      </c>
      <c r="F507" s="706" t="s">
        <v>1134</v>
      </c>
      <c r="G507" s="706">
        <v>-3790051</v>
      </c>
      <c r="H507" s="706">
        <v>-3790051</v>
      </c>
      <c r="I507" s="706">
        <v>-3790051</v>
      </c>
      <c r="J507" s="706">
        <v>-3790051</v>
      </c>
      <c r="K507" s="706">
        <v>-3790051</v>
      </c>
      <c r="L507" s="706">
        <v>-3790051</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G36009</v>
      </c>
      <c r="AK507" s="905" t="str">
        <f t="shared" si="49"/>
        <v>AJUST CAPITAL-ACTIONS</v>
      </c>
      <c r="AL507" s="905">
        <f>IFERROR(INDEX(G507:R507,1,MATCH(Parametres!$B$3,G$1:R$1,0)-1)*IF(OR(F507="L",F507="S",F507="I"),-1,1),"")</f>
        <v>0</v>
      </c>
      <c r="AM507" s="905">
        <f t="shared" si="44"/>
        <v>0</v>
      </c>
      <c r="AN507" s="905">
        <f>INDEX(G507:R507,1,MATCH(Parametres!$B$3,G$1:R$1,0))*IF(OR(F507="L",F507="S",F507="I"),-1,1)</f>
        <v>0</v>
      </c>
      <c r="AO507" s="487" t="str">
        <f>+VLOOKUP($AJ507,Data_Validation!$A:$D,1,0)</f>
        <v>G36009</v>
      </c>
      <c r="AP507" s="487" t="str">
        <f>+VLOOKUP($AJ507,Data_Validation!$A:$D,3,0)</f>
        <v>Bilan</v>
      </c>
      <c r="AQ507" s="487" t="str">
        <f>+VLOOKUP($AJ507,Data_Validation!$A:$D,4,0)</f>
        <v>Capital Actions</v>
      </c>
      <c r="AR507" s="487" t="s">
        <v>299</v>
      </c>
      <c r="AS507" s="487">
        <f>+VLOOKUP($AJ507,Data_Validation!$A:$E,5,0)</f>
        <v>0</v>
      </c>
      <c r="AT507" s="904" t="str">
        <f t="shared" si="45"/>
        <v>G36009</v>
      </c>
      <c r="AU507" s="488" t="str">
        <f t="shared" si="46"/>
        <v>AJUST CAPITAL-ACTIONS</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hidden="1" customHeight="1">
      <c r="A508" s="706" t="s">
        <v>1147</v>
      </c>
      <c r="B508" s="706">
        <v>2025</v>
      </c>
      <c r="C508" s="706" t="s">
        <v>3156</v>
      </c>
      <c r="F508" s="706" t="s">
        <v>1134</v>
      </c>
      <c r="R508" s="706">
        <v>-1349838</v>
      </c>
      <c r="U508" s="706">
        <v>-1349838</v>
      </c>
      <c r="AJ508" s="905" t="str">
        <f t="shared" si="48"/>
        <v>G36100</v>
      </c>
      <c r="AK508" s="905">
        <f t="shared" si="49"/>
        <v>0</v>
      </c>
      <c r="AL508" s="905">
        <f>IFERROR(INDEX(G508:R508,1,MATCH(Parametres!$B$3,G$1:R$1,0)-1)*IF(OR(F508="L",F508="S",F508="I"),-1,1),"")</f>
        <v>0</v>
      </c>
      <c r="AM508" s="905">
        <f t="shared" si="44"/>
        <v>1349838</v>
      </c>
      <c r="AN508" s="905">
        <f>INDEX(G508:R508,1,MATCH(Parametres!$B$3,G$1:R$1,0))*IF(OR(F508="L",F508="S",F508="I"),-1,1)</f>
        <v>1349838</v>
      </c>
      <c r="AO508" s="487" t="str">
        <f>+VLOOKUP($AJ508,Data_Validation!$A:$D,1,0)</f>
        <v>G36100</v>
      </c>
      <c r="AP508" s="487" t="str">
        <f>+VLOOKUP($AJ508,Data_Validation!$A:$D,3,0)</f>
        <v>Bilan</v>
      </c>
      <c r="AQ508" s="487" t="str">
        <f>+VLOOKUP($AJ508,Data_Validation!$A:$D,4,0)</f>
        <v>Capital Actions</v>
      </c>
      <c r="AR508" s="487" t="s">
        <v>299</v>
      </c>
      <c r="AS508" s="487">
        <f>+VLOOKUP($AJ508,Data_Validation!$A:$E,5,0)</f>
        <v>0</v>
      </c>
      <c r="AT508" s="904" t="str">
        <f t="shared" si="45"/>
        <v>G36100</v>
      </c>
      <c r="AU508" s="488">
        <f t="shared" si="46"/>
        <v>0</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hidden="1" customHeight="1">
      <c r="A509" s="706" t="s">
        <v>1147</v>
      </c>
      <c r="B509" s="706">
        <v>2025</v>
      </c>
      <c r="C509" s="706" t="s">
        <v>2221</v>
      </c>
      <c r="D509" s="706" t="s">
        <v>2222</v>
      </c>
      <c r="E509" s="706" t="s">
        <v>333</v>
      </c>
      <c r="F509" s="706" t="s">
        <v>1134</v>
      </c>
      <c r="G509" s="706">
        <v>10113677.68</v>
      </c>
      <c r="H509" s="706">
        <v>10113677.68</v>
      </c>
      <c r="I509" s="706">
        <v>10113677.68</v>
      </c>
      <c r="J509" s="706">
        <v>10113677.68</v>
      </c>
      <c r="K509" s="706">
        <v>10113677.68</v>
      </c>
      <c r="L509" s="706">
        <v>8733945</v>
      </c>
      <c r="M509" s="706">
        <v>4943894</v>
      </c>
      <c r="N509" s="706">
        <v>4943894</v>
      </c>
      <c r="O509" s="706">
        <v>4943894</v>
      </c>
      <c r="P509" s="706">
        <v>4943894</v>
      </c>
      <c r="Q509" s="706">
        <v>4943894</v>
      </c>
      <c r="R509" s="706">
        <v>4943894</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G37000</v>
      </c>
      <c r="AK509" s="905" t="str">
        <f t="shared" si="49"/>
        <v>BENEFICES NON REPARTIS</v>
      </c>
      <c r="AL509" s="905">
        <f>IFERROR(INDEX(G509:R509,1,MATCH(Parametres!$B$3,G$1:R$1,0)-1)*IF(OR(F509="L",F509="S",F509="I"),-1,1),"")</f>
        <v>-4943894</v>
      </c>
      <c r="AM509" s="905">
        <f t="shared" si="44"/>
        <v>0</v>
      </c>
      <c r="AN509" s="905">
        <f>INDEX(G509:R509,1,MATCH(Parametres!$B$3,G$1:R$1,0))*IF(OR(F509="L",F509="S",F509="I"),-1,1)</f>
        <v>-4943894</v>
      </c>
      <c r="AO509" s="487" t="str">
        <f>+VLOOKUP($AJ509,Data_Validation!$A:$D,1,0)</f>
        <v>G37000</v>
      </c>
      <c r="AP509" s="487" t="str">
        <f>+VLOOKUP($AJ509,Data_Validation!$A:$D,3,0)</f>
        <v>Bilan</v>
      </c>
      <c r="AQ509" s="487" t="str">
        <f>+VLOOKUP($AJ509,Data_Validation!$A:$D,4,0)</f>
        <v>Bénéfices non répartis</v>
      </c>
      <c r="AR509" s="487" t="s">
        <v>299</v>
      </c>
      <c r="AS509" s="487">
        <f>+VLOOKUP($AJ509,Data_Validation!$A:$E,5,0)</f>
        <v>0</v>
      </c>
      <c r="AT509" s="904" t="str">
        <f t="shared" si="45"/>
        <v>G37000</v>
      </c>
      <c r="AU509" s="488" t="str">
        <f t="shared" si="46"/>
        <v>BENEFICES NON REPARTIS</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customHeight="1">
      <c r="A510" s="706" t="s">
        <v>1147</v>
      </c>
      <c r="B510" s="706">
        <v>2025</v>
      </c>
      <c r="C510" s="706" t="s">
        <v>2223</v>
      </c>
      <c r="D510" s="706" t="s">
        <v>2224</v>
      </c>
      <c r="E510" s="706" t="s">
        <v>333</v>
      </c>
      <c r="F510" s="706" t="s">
        <v>1134</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G37500</v>
      </c>
      <c r="AK510" s="905" t="str">
        <f t="shared" si="49"/>
        <v>DIVIDENDES RECUS</v>
      </c>
      <c r="AL510" s="905">
        <f>IFERROR(INDEX(G510:R510,1,MATCH(Parametres!$B$3,G$1:R$1,0)-1)*IF(OR(F510="L",F510="S",F510="I"),-1,1),"")</f>
        <v>0</v>
      </c>
      <c r="AM510" s="905">
        <f t="shared" si="44"/>
        <v>0</v>
      </c>
      <c r="AN510" s="905">
        <f>INDEX(G510:R510,1,MATCH(Parametres!$B$3,G$1:R$1,0))*IF(OR(F510="L",F510="S",F510="I"),-1,1)</f>
        <v>0</v>
      </c>
      <c r="AO510" s="487" t="str">
        <f>+VLOOKUP($AJ510,Data_Validation!$A:$D,1,0)</f>
        <v>G37500</v>
      </c>
      <c r="AP510" s="487">
        <f>+VLOOKUP($AJ510,Data_Validation!$A:$D,3,0)</f>
        <v>0</v>
      </c>
      <c r="AQ510" s="487">
        <f>+VLOOKUP($AJ510,Data_Validation!$A:$D,4,0)</f>
        <v>0</v>
      </c>
      <c r="AR510" s="487" t="s">
        <v>299</v>
      </c>
      <c r="AS510" s="487">
        <f>+VLOOKUP($AJ510,Data_Validation!$A:$E,5,0)</f>
        <v>0</v>
      </c>
      <c r="AT510" s="904" t="str">
        <f t="shared" si="45"/>
        <v>G37500</v>
      </c>
      <c r="AU510" s="488" t="str">
        <f t="shared" si="46"/>
        <v>DIVIDENDES RECUS</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customHeight="1">
      <c r="A511" s="706" t="s">
        <v>1147</v>
      </c>
      <c r="B511" s="706">
        <v>2025</v>
      </c>
      <c r="C511" s="706" t="s">
        <v>2225</v>
      </c>
      <c r="D511" s="706" t="s">
        <v>2226</v>
      </c>
      <c r="E511" s="706" t="s">
        <v>333</v>
      </c>
      <c r="F511" s="706" t="s">
        <v>1134</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G38000</v>
      </c>
      <c r="AK511" s="905" t="str">
        <f t="shared" si="49"/>
        <v>PLACEMENTS</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G38000</v>
      </c>
      <c r="AU511" s="488" t="str">
        <f t="shared" si="46"/>
        <v>PLACEMENTS</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hidden="1" customHeight="1">
      <c r="A512" s="706" t="s">
        <v>1147</v>
      </c>
      <c r="B512" s="706">
        <v>2025</v>
      </c>
      <c r="C512" s="706" t="s">
        <v>2227</v>
      </c>
      <c r="D512" s="706" t="s">
        <v>2228</v>
      </c>
      <c r="E512" s="706" t="s">
        <v>1148</v>
      </c>
      <c r="F512" s="706" t="s">
        <v>1148</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G40000</v>
      </c>
      <c r="AK512" s="905" t="str">
        <f t="shared" si="49"/>
        <v>VENTE VOLT</v>
      </c>
      <c r="AL512" s="905">
        <f>IFERROR(INDEX(G512:R512,1,MATCH(Parametres!$B$3,G$1:R$1,0)-1)*IF(OR(F512="L",F512="S",F512="I"),-1,1),"")</f>
        <v>0</v>
      </c>
      <c r="AM512" s="905">
        <f t="shared" si="44"/>
        <v>0</v>
      </c>
      <c r="AN512" s="905">
        <f>INDEX(G512:R512,1,MATCH(Parametres!$B$3,G$1:R$1,0))*IF(OR(F512="L",F512="S",F512="I"),-1,1)</f>
        <v>0</v>
      </c>
      <c r="AO512" s="487" t="str">
        <f>+VLOOKUP($AJ512,Data_Validation!$A:$D,1,0)</f>
        <v>G40000</v>
      </c>
      <c r="AP512" s="487" t="str">
        <f>+VLOOKUP($AJ512,Data_Validation!$A:$D,3,0)</f>
        <v>Véhicules neufs</v>
      </c>
      <c r="AQ512" s="487" t="str">
        <f>+VLOOKUP($AJ512,Data_Validation!$A:$D,4,0)</f>
        <v>Autos détail</v>
      </c>
      <c r="AR512" s="487" t="s">
        <v>299</v>
      </c>
      <c r="AS512" s="487" t="str">
        <f>+VLOOKUP($AJ512,Data_Validation!$A:$E,5,0)</f>
        <v>Oui</v>
      </c>
      <c r="AT512" s="904" t="str">
        <f t="shared" si="45"/>
        <v>G40000</v>
      </c>
      <c r="AU512" s="488" t="str">
        <f t="shared" si="46"/>
        <v>VENTE VOLT</v>
      </c>
      <c r="AV512" s="899">
        <f>IFERROR(INDEX(V512:AG512,1,MATCH(Parametres!$B$3,V$1:AG$1,0)-1)*IF(OR(C512="L",C512="S",C512="I"),-1,1),"")</f>
        <v>0</v>
      </c>
      <c r="AW512" s="899">
        <f t="shared" si="47"/>
        <v>0</v>
      </c>
      <c r="AX512" s="899">
        <f>INDEX(V512:AG512,1,MATCH(Parametres!$B$3,V$1:AG$1,0))*IF(OR(C512="L",C512="S",C512="I"),-1,1)</f>
        <v>0</v>
      </c>
      <c r="AY512" s="487" t="s">
        <v>337</v>
      </c>
      <c r="AZ512" s="487" t="str">
        <f>+VLOOKUP($AJ512,Data_Validation!$A:$E,5,0)</f>
        <v>Oui</v>
      </c>
    </row>
    <row r="513" spans="1:52" ht="15" hidden="1" customHeight="1">
      <c r="A513" s="706" t="s">
        <v>1147</v>
      </c>
      <c r="B513" s="706">
        <v>2025</v>
      </c>
      <c r="C513" s="706" t="s">
        <v>2229</v>
      </c>
      <c r="D513" s="706" t="s">
        <v>2230</v>
      </c>
      <c r="E513" s="706" t="s">
        <v>1148</v>
      </c>
      <c r="F513" s="706" t="s">
        <v>1148</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G40004</v>
      </c>
      <c r="AK513" s="905" t="str">
        <f t="shared" si="49"/>
        <v>VENTE BUICK REGAL</v>
      </c>
      <c r="AL513" s="905">
        <f>IFERROR(INDEX(G513:R513,1,MATCH(Parametres!$B$3,G$1:R$1,0)-1)*IF(OR(F513="L",F513="S",F513="I"),-1,1),"")</f>
        <v>0</v>
      </c>
      <c r="AM513" s="905">
        <f t="shared" si="44"/>
        <v>0</v>
      </c>
      <c r="AN513" s="905">
        <f>INDEX(G513:R513,1,MATCH(Parametres!$B$3,G$1:R$1,0))*IF(OR(F513="L",F513="S",F513="I"),-1,1)</f>
        <v>0</v>
      </c>
      <c r="AO513" s="487" t="str">
        <f>+VLOOKUP($AJ513,Data_Validation!$A:$D,1,0)</f>
        <v>G40004</v>
      </c>
      <c r="AP513" s="487" t="str">
        <f>+VLOOKUP($AJ513,Data_Validation!$A:$D,3,0)</f>
        <v>Véhicules neufs</v>
      </c>
      <c r="AQ513" s="487" t="str">
        <f>+VLOOKUP($AJ513,Data_Validation!$A:$D,4,0)</f>
        <v>Autos détail</v>
      </c>
      <c r="AR513" s="487" t="s">
        <v>299</v>
      </c>
      <c r="AS513" s="487" t="str">
        <f>+VLOOKUP($AJ513,Data_Validation!$A:$E,5,0)</f>
        <v>Oui</v>
      </c>
      <c r="AT513" s="904" t="str">
        <f t="shared" si="45"/>
        <v>G40004</v>
      </c>
      <c r="AU513" s="488" t="str">
        <f t="shared" si="46"/>
        <v>VENTE BUICK REGAL</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1147</v>
      </c>
      <c r="B514" s="706">
        <v>2025</v>
      </c>
      <c r="C514" s="706" t="s">
        <v>2231</v>
      </c>
      <c r="D514" s="706" t="s">
        <v>2232</v>
      </c>
      <c r="E514" s="706" t="s">
        <v>1148</v>
      </c>
      <c r="F514" s="706" t="s">
        <v>1148</v>
      </c>
      <c r="G514" s="706">
        <v>0</v>
      </c>
      <c r="H514" s="706">
        <v>0</v>
      </c>
      <c r="I514" s="706">
        <v>0</v>
      </c>
      <c r="J514" s="706">
        <v>0</v>
      </c>
      <c r="K514" s="706">
        <v>29694</v>
      </c>
      <c r="L514" s="706">
        <v>29694</v>
      </c>
      <c r="M514" s="706">
        <v>29694</v>
      </c>
      <c r="N514" s="706">
        <v>29694</v>
      </c>
      <c r="O514" s="706">
        <v>29694</v>
      </c>
      <c r="P514" s="706">
        <v>29694</v>
      </c>
      <c r="Q514" s="706">
        <v>29694</v>
      </c>
      <c r="R514" s="706">
        <v>29694</v>
      </c>
      <c r="S514" s="706">
        <v>2699.45</v>
      </c>
      <c r="T514" s="706">
        <v>2699.45</v>
      </c>
      <c r="U514" s="706">
        <v>0</v>
      </c>
      <c r="V514" s="706">
        <v>0</v>
      </c>
      <c r="W514" s="706">
        <v>0</v>
      </c>
      <c r="X514" s="706">
        <v>0</v>
      </c>
      <c r="Y514" s="706">
        <v>0</v>
      </c>
      <c r="Z514" s="706">
        <v>1</v>
      </c>
      <c r="AA514" s="706">
        <v>1</v>
      </c>
      <c r="AB514" s="706">
        <v>1</v>
      </c>
      <c r="AC514" s="706">
        <v>1</v>
      </c>
      <c r="AD514" s="706">
        <v>1</v>
      </c>
      <c r="AE514" s="706">
        <v>1</v>
      </c>
      <c r="AF514" s="706">
        <v>1</v>
      </c>
      <c r="AG514" s="706">
        <v>1</v>
      </c>
      <c r="AH514" s="706">
        <v>0</v>
      </c>
      <c r="AI514" s="706">
        <v>0</v>
      </c>
      <c r="AJ514" s="905" t="str">
        <f t="shared" si="48"/>
        <v>G40100</v>
      </c>
      <c r="AK514" s="905" t="str">
        <f t="shared" si="49"/>
        <v>VTES-MALIBU</v>
      </c>
      <c r="AL514" s="905">
        <f>IFERROR(INDEX(G514:R514,1,MATCH(Parametres!$B$3,G$1:R$1,0)-1)*IF(OR(F514="L",F514="S",F514="I"),-1,1),"")</f>
        <v>-29694</v>
      </c>
      <c r="AM514" s="905">
        <f t="shared" si="44"/>
        <v>0</v>
      </c>
      <c r="AN514" s="905">
        <f>INDEX(G514:R514,1,MATCH(Parametres!$B$3,G$1:R$1,0))*IF(OR(F514="L",F514="S",F514="I"),-1,1)</f>
        <v>-29694</v>
      </c>
      <c r="AO514" s="487" t="str">
        <f>+VLOOKUP($AJ514,Data_Validation!$A:$D,1,0)</f>
        <v>G40100</v>
      </c>
      <c r="AP514" s="487" t="str">
        <f>+VLOOKUP($AJ514,Data_Validation!$A:$D,3,0)</f>
        <v>Véhicules neufs</v>
      </c>
      <c r="AQ514" s="487" t="str">
        <f>+VLOOKUP($AJ514,Data_Validation!$A:$D,4,0)</f>
        <v>Autos détail</v>
      </c>
      <c r="AR514" s="487" t="s">
        <v>299</v>
      </c>
      <c r="AS514" s="487" t="str">
        <f>+VLOOKUP($AJ514,Data_Validation!$A:$E,5,0)</f>
        <v>Oui</v>
      </c>
      <c r="AT514" s="904" t="str">
        <f t="shared" si="45"/>
        <v>G40100</v>
      </c>
      <c r="AU514" s="488" t="str">
        <f t="shared" si="46"/>
        <v>VTES-MALIBU</v>
      </c>
      <c r="AV514" s="899">
        <f>IFERROR(INDEX(V514:AG514,1,MATCH(Parametres!$B$3,V$1:AG$1,0)-1)*IF(OR(C514="L",C514="S",C514="I"),-1,1),"")</f>
        <v>1</v>
      </c>
      <c r="AW514" s="899">
        <f t="shared" si="47"/>
        <v>0</v>
      </c>
      <c r="AX514" s="899">
        <f>INDEX(V514:AG514,1,MATCH(Parametres!$B$3,V$1:AG$1,0))*IF(OR(C514="L",C514="S",C514="I"),-1,1)</f>
        <v>1</v>
      </c>
      <c r="AY514" s="487" t="s">
        <v>337</v>
      </c>
      <c r="AZ514" s="487" t="str">
        <f>+VLOOKUP($AJ514,Data_Validation!$A:$E,5,0)</f>
        <v>Oui</v>
      </c>
    </row>
    <row r="515" spans="1:52" ht="15" hidden="1" customHeight="1">
      <c r="A515" s="706" t="s">
        <v>1147</v>
      </c>
      <c r="B515" s="706">
        <v>2025</v>
      </c>
      <c r="C515" s="706" t="s">
        <v>2233</v>
      </c>
      <c r="D515" s="706" t="s">
        <v>2234</v>
      </c>
      <c r="E515" s="706" t="s">
        <v>1148</v>
      </c>
      <c r="F515" s="706" t="s">
        <v>1148</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G40101</v>
      </c>
      <c r="AK515" s="905" t="str">
        <f t="shared" si="49"/>
        <v>VENTE BUICK LACROSSE</v>
      </c>
      <c r="AL515" s="905">
        <f>IFERROR(INDEX(G515:R515,1,MATCH(Parametres!$B$3,G$1:R$1,0)-1)*IF(OR(F515="L",F515="S",F515="I"),-1,1),"")</f>
        <v>0</v>
      </c>
      <c r="AM515" s="905">
        <f t="shared" si="44"/>
        <v>0</v>
      </c>
      <c r="AN515" s="905">
        <f>INDEX(G515:R515,1,MATCH(Parametres!$B$3,G$1:R$1,0))*IF(OR(F515="L",F515="S",F515="I"),-1,1)</f>
        <v>0</v>
      </c>
      <c r="AO515" s="487" t="str">
        <f>+VLOOKUP($AJ515,Data_Validation!$A:$D,1,0)</f>
        <v>G40101</v>
      </c>
      <c r="AP515" s="487" t="str">
        <f>+VLOOKUP($AJ515,Data_Validation!$A:$D,3,0)</f>
        <v>Véhicules neufs</v>
      </c>
      <c r="AQ515" s="487" t="str">
        <f>+VLOOKUP($AJ515,Data_Validation!$A:$D,4,0)</f>
        <v>Autos détail</v>
      </c>
      <c r="AR515" s="487" t="s">
        <v>299</v>
      </c>
      <c r="AS515" s="487" t="str">
        <f>+VLOOKUP($AJ515,Data_Validation!$A:$E,5,0)</f>
        <v>Oui</v>
      </c>
      <c r="AT515" s="904" t="str">
        <f t="shared" si="45"/>
        <v>G40101</v>
      </c>
      <c r="AU515" s="488" t="str">
        <f t="shared" si="46"/>
        <v>VENTE BUICK LACROSSE</v>
      </c>
      <c r="AV515" s="899">
        <f>IFERROR(INDEX(V515:AG515,1,MATCH(Parametres!$B$3,V$1:AG$1,0)-1)*IF(OR(C515="L",C515="S",C515="I"),-1,1),"")</f>
        <v>0</v>
      </c>
      <c r="AW515" s="899">
        <f t="shared" si="47"/>
        <v>0</v>
      </c>
      <c r="AX515" s="899">
        <f>INDEX(V515:AG515,1,MATCH(Parametres!$B$3,V$1:AG$1,0))*IF(OR(C515="L",C515="S",C515="I"),-1,1)</f>
        <v>0</v>
      </c>
      <c r="AY515" s="487" t="s">
        <v>337</v>
      </c>
      <c r="AZ515" s="487" t="str">
        <f>+VLOOKUP($AJ515,Data_Validation!$A:$E,5,0)</f>
        <v>Oui</v>
      </c>
    </row>
    <row r="516" spans="1:52" ht="15" customHeight="1">
      <c r="A516" s="706" t="s">
        <v>1147</v>
      </c>
      <c r="B516" s="706">
        <v>2025</v>
      </c>
      <c r="C516" s="706" t="s">
        <v>2235</v>
      </c>
      <c r="D516" s="706" t="s">
        <v>2236</v>
      </c>
      <c r="E516" s="706" t="s">
        <v>1148</v>
      </c>
      <c r="F516" s="706" t="s">
        <v>1148</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G40120</v>
      </c>
      <c r="AK516" s="905" t="str">
        <f t="shared" si="49"/>
        <v>VTES-MALIBU          -LOC</v>
      </c>
      <c r="AL516" s="905">
        <f>IFERROR(INDEX(G516:R516,1,MATCH(Parametres!$B$3,G$1:R$1,0)-1)*IF(OR(F516="L",F516="S",F516="I"),-1,1),"")</f>
        <v>0</v>
      </c>
      <c r="AM516" s="905">
        <f t="shared" ref="AM516:AM579" si="50">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t="str">
        <f t="shared" ref="AT516:AT579" si="51">C516</f>
        <v>G40120</v>
      </c>
      <c r="AU516" s="488" t="str">
        <f t="shared" ref="AU516:AU579" si="52">D516</f>
        <v>VTES-MALIBU          -LOC</v>
      </c>
      <c r="AV516" s="899">
        <f>IFERROR(INDEX(V516:AG516,1,MATCH(Parametres!$B$3,V$1:AG$1,0)-1)*IF(OR(C516="L",C516="S",C516="I"),-1,1),"")</f>
        <v>0</v>
      </c>
      <c r="AW516" s="899">
        <f t="shared" ref="AW516:AW579" si="53">AX516-AV516</f>
        <v>0</v>
      </c>
      <c r="AX516" s="899">
        <f>INDEX(V516:AG516,1,MATCH(Parametres!$B$3,V$1:AG$1,0))*IF(OR(C516="L",C516="S",C516="I"),-1,1)</f>
        <v>0</v>
      </c>
      <c r="AY516" s="487" t="s">
        <v>337</v>
      </c>
      <c r="AZ516" s="487" t="e">
        <f>+VLOOKUP($AJ516,Data_Validation!$A:$E,5,0)</f>
        <v>#N/A</v>
      </c>
    </row>
    <row r="517" spans="1:52" ht="15" customHeight="1">
      <c r="A517" s="706" t="s">
        <v>1147</v>
      </c>
      <c r="B517" s="706">
        <v>2025</v>
      </c>
      <c r="C517" s="706" t="s">
        <v>2237</v>
      </c>
      <c r="D517" s="706" t="s">
        <v>2238</v>
      </c>
      <c r="E517" s="706" t="s">
        <v>1148</v>
      </c>
      <c r="F517" s="706" t="s">
        <v>1148</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G40200</v>
      </c>
      <c r="AK517" s="905" t="str">
        <f t="shared" si="49"/>
        <v>VTES-MALIBU MAXX</v>
      </c>
      <c r="AL517" s="905">
        <f>IFERROR(INDEX(G517:R517,1,MATCH(Parametres!$B$3,G$1:R$1,0)-1)*IF(OR(F517="L",F517="S",F517="I"),-1,1),"")</f>
        <v>0</v>
      </c>
      <c r="AM517" s="905">
        <f t="shared" si="50"/>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t="str">
        <f t="shared" si="51"/>
        <v>G40200</v>
      </c>
      <c r="AU517" s="488" t="str">
        <f t="shared" si="52"/>
        <v>VTES-MALIBU MAXX</v>
      </c>
      <c r="AV517" s="899">
        <f>IFERROR(INDEX(V517:AG517,1,MATCH(Parametres!$B$3,V$1:AG$1,0)-1)*IF(OR(C517="L",C517="S",C517="I"),-1,1),"")</f>
        <v>0</v>
      </c>
      <c r="AW517" s="899">
        <f t="shared" si="53"/>
        <v>0</v>
      </c>
      <c r="AX517" s="899">
        <f>INDEX(V517:AG517,1,MATCH(Parametres!$B$3,V$1:AG$1,0))*IF(OR(C517="L",C517="S",C517="I"),-1,1)</f>
        <v>0</v>
      </c>
      <c r="AY517" s="487" t="s">
        <v>337</v>
      </c>
      <c r="AZ517" s="487" t="e">
        <f>+VLOOKUP($AJ517,Data_Validation!$A:$E,5,0)</f>
        <v>#N/A</v>
      </c>
    </row>
    <row r="518" spans="1:52" ht="15" customHeight="1">
      <c r="A518" s="706" t="s">
        <v>1147</v>
      </c>
      <c r="B518" s="706">
        <v>2025</v>
      </c>
      <c r="C518" s="706" t="s">
        <v>2239</v>
      </c>
      <c r="D518" s="706" t="s">
        <v>2240</v>
      </c>
      <c r="E518" s="706" t="s">
        <v>1148</v>
      </c>
      <c r="F518" s="706" t="s">
        <v>1148</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G40201</v>
      </c>
      <c r="AK518" s="905" t="str">
        <f t="shared" si="49"/>
        <v>VENTES - SONIC</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G40201</v>
      </c>
      <c r="AU518" s="488" t="str">
        <f t="shared" si="52"/>
        <v>VENTES - SONIC</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hidden="1" customHeight="1">
      <c r="A519" s="706" t="s">
        <v>1147</v>
      </c>
      <c r="B519" s="706">
        <v>2025</v>
      </c>
      <c r="C519" s="706" t="s">
        <v>2241</v>
      </c>
      <c r="D519" s="706" t="s">
        <v>2242</v>
      </c>
      <c r="E519" s="706" t="s">
        <v>1148</v>
      </c>
      <c r="F519" s="706" t="s">
        <v>1148</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G40204</v>
      </c>
      <c r="AK519" s="905" t="str">
        <f t="shared" si="49"/>
        <v>VENTES - VERANO</v>
      </c>
      <c r="AL519" s="905">
        <f>IFERROR(INDEX(G519:R519,1,MATCH(Parametres!$B$3,G$1:R$1,0)-1)*IF(OR(F519="L",F519="S",F519="I"),-1,1),"")</f>
        <v>0</v>
      </c>
      <c r="AM519" s="905">
        <f t="shared" si="50"/>
        <v>0</v>
      </c>
      <c r="AN519" s="905">
        <f>INDEX(G519:R519,1,MATCH(Parametres!$B$3,G$1:R$1,0))*IF(OR(F519="L",F519="S",F519="I"),-1,1)</f>
        <v>0</v>
      </c>
      <c r="AO519" s="487" t="str">
        <f>+VLOOKUP($AJ519,Data_Validation!$A:$D,1,0)</f>
        <v>G40204</v>
      </c>
      <c r="AP519" s="487" t="str">
        <f>+VLOOKUP($AJ519,Data_Validation!$A:$D,3,0)</f>
        <v>Véhicules neufs</v>
      </c>
      <c r="AQ519" s="487" t="str">
        <f>+VLOOKUP($AJ519,Data_Validation!$A:$D,4,0)</f>
        <v>Autos détail</v>
      </c>
      <c r="AR519" s="487" t="s">
        <v>299</v>
      </c>
      <c r="AS519" s="487" t="str">
        <f>+VLOOKUP($AJ519,Data_Validation!$A:$E,5,0)</f>
        <v>Oui</v>
      </c>
      <c r="AT519" s="904" t="str">
        <f t="shared" si="51"/>
        <v>G40204</v>
      </c>
      <c r="AU519" s="488" t="str">
        <f t="shared" si="52"/>
        <v>VENTES - VERANO</v>
      </c>
      <c r="AV519" s="899">
        <f>IFERROR(INDEX(V519:AG519,1,MATCH(Parametres!$B$3,V$1:AG$1,0)-1)*IF(OR(C519="L",C519="S",C519="I"),-1,1),"")</f>
        <v>0</v>
      </c>
      <c r="AW519" s="899">
        <f t="shared" si="53"/>
        <v>0</v>
      </c>
      <c r="AX519" s="899">
        <f>INDEX(V519:AG519,1,MATCH(Parametres!$B$3,V$1:AG$1,0))*IF(OR(C519="L",C519="S",C519="I"),-1,1)</f>
        <v>0</v>
      </c>
      <c r="AY519" s="487" t="s">
        <v>337</v>
      </c>
      <c r="AZ519" s="487" t="str">
        <f>+VLOOKUP($AJ519,Data_Validation!$A:$E,5,0)</f>
        <v>Oui</v>
      </c>
    </row>
    <row r="520" spans="1:52" ht="15" hidden="1" customHeight="1">
      <c r="A520" s="706" t="s">
        <v>1147</v>
      </c>
      <c r="B520" s="706">
        <v>2025</v>
      </c>
      <c r="C520" s="706" t="s">
        <v>2243</v>
      </c>
      <c r="D520" s="706" t="s">
        <v>2244</v>
      </c>
      <c r="E520" s="706" t="s">
        <v>1148</v>
      </c>
      <c r="F520" s="706" t="s">
        <v>1148</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G40300</v>
      </c>
      <c r="AK520" s="905" t="str">
        <f t="shared" si="49"/>
        <v>VTES-IMPALA</v>
      </c>
      <c r="AL520" s="905">
        <f>IFERROR(INDEX(G520:R520,1,MATCH(Parametres!$B$3,G$1:R$1,0)-1)*IF(OR(F520="L",F520="S",F520="I"),-1,1),"")</f>
        <v>0</v>
      </c>
      <c r="AM520" s="905">
        <f t="shared" si="50"/>
        <v>0</v>
      </c>
      <c r="AN520" s="905">
        <f>INDEX(G520:R520,1,MATCH(Parametres!$B$3,G$1:R$1,0))*IF(OR(F520="L",F520="S",F520="I"),-1,1)</f>
        <v>0</v>
      </c>
      <c r="AO520" s="487" t="str">
        <f>+VLOOKUP($AJ520,Data_Validation!$A:$D,1,0)</f>
        <v>G40300</v>
      </c>
      <c r="AP520" s="487" t="str">
        <f>+VLOOKUP($AJ520,Data_Validation!$A:$D,3,0)</f>
        <v>Véhicules neufs</v>
      </c>
      <c r="AQ520" s="487" t="str">
        <f>+VLOOKUP($AJ520,Data_Validation!$A:$D,4,0)</f>
        <v>Autos détail</v>
      </c>
      <c r="AR520" s="487" t="s">
        <v>299</v>
      </c>
      <c r="AS520" s="487" t="str">
        <f>+VLOOKUP($AJ520,Data_Validation!$A:$E,5,0)</f>
        <v>Oui</v>
      </c>
      <c r="AT520" s="904" t="str">
        <f t="shared" si="51"/>
        <v>G40300</v>
      </c>
      <c r="AU520" s="488" t="str">
        <f t="shared" si="52"/>
        <v>VTES-IMPALA</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1147</v>
      </c>
      <c r="B521" s="706">
        <v>2025</v>
      </c>
      <c r="C521" s="706" t="s">
        <v>2245</v>
      </c>
      <c r="D521" s="706" t="s">
        <v>2246</v>
      </c>
      <c r="E521" s="706" t="s">
        <v>1148</v>
      </c>
      <c r="F521" s="706" t="s">
        <v>1148</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G40320</v>
      </c>
      <c r="AK521" s="905" t="str">
        <f t="shared" si="49"/>
        <v>VTES-IMPALA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G40320</v>
      </c>
      <c r="AU521" s="488" t="str">
        <f t="shared" si="52"/>
        <v>VTES-IMPALA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hidden="1" customHeight="1">
      <c r="A522" s="706" t="s">
        <v>1147</v>
      </c>
      <c r="B522" s="706">
        <v>2025</v>
      </c>
      <c r="C522" s="706" t="s">
        <v>2247</v>
      </c>
      <c r="D522" s="706" t="s">
        <v>2248</v>
      </c>
      <c r="E522" s="706" t="s">
        <v>1148</v>
      </c>
      <c r="F522" s="706" t="s">
        <v>1148</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G40400</v>
      </c>
      <c r="AK522" s="905" t="str">
        <f t="shared" si="49"/>
        <v>VENTES / SPARK</v>
      </c>
      <c r="AL522" s="905">
        <f>IFERROR(INDEX(G522:R522,1,MATCH(Parametres!$B$3,G$1:R$1,0)-1)*IF(OR(F522="L",F522="S",F522="I"),-1,1),"")</f>
        <v>0</v>
      </c>
      <c r="AM522" s="905">
        <f t="shared" si="50"/>
        <v>0</v>
      </c>
      <c r="AN522" s="905">
        <f>INDEX(G522:R522,1,MATCH(Parametres!$B$3,G$1:R$1,0))*IF(OR(F522="L",F522="S",F522="I"),-1,1)</f>
        <v>0</v>
      </c>
      <c r="AO522" s="487" t="str">
        <f>+VLOOKUP($AJ522,Data_Validation!$A:$D,1,0)</f>
        <v>G40400</v>
      </c>
      <c r="AP522" s="487" t="str">
        <f>+VLOOKUP($AJ522,Data_Validation!$A:$D,3,0)</f>
        <v>Véhicules neufs</v>
      </c>
      <c r="AQ522" s="487" t="str">
        <f>+VLOOKUP($AJ522,Data_Validation!$A:$D,4,0)</f>
        <v>Autos détail</v>
      </c>
      <c r="AR522" s="487" t="s">
        <v>299</v>
      </c>
      <c r="AS522" s="487" t="str">
        <f>+VLOOKUP($AJ522,Data_Validation!$A:$E,5,0)</f>
        <v>Oui</v>
      </c>
      <c r="AT522" s="904" t="str">
        <f t="shared" si="51"/>
        <v>G40400</v>
      </c>
      <c r="AU522" s="488" t="str">
        <f t="shared" si="52"/>
        <v>VENTES / SPARK</v>
      </c>
      <c r="AV522" s="899">
        <f>IFERROR(INDEX(V522:AG522,1,MATCH(Parametres!$B$3,V$1:AG$1,0)-1)*IF(OR(C522="L",C522="S",C522="I"),-1,1),"")</f>
        <v>0</v>
      </c>
      <c r="AW522" s="899">
        <f t="shared" si="53"/>
        <v>0</v>
      </c>
      <c r="AX522" s="899">
        <f>INDEX(V522:AG522,1,MATCH(Parametres!$B$3,V$1:AG$1,0))*IF(OR(C522="L",C522="S",C522="I"),-1,1)</f>
        <v>0</v>
      </c>
      <c r="AY522" s="487" t="s">
        <v>337</v>
      </c>
      <c r="AZ522" s="487" t="str">
        <f>+VLOOKUP($AJ522,Data_Validation!$A:$E,5,0)</f>
        <v>Oui</v>
      </c>
    </row>
    <row r="523" spans="1:52" ht="15" hidden="1" customHeight="1">
      <c r="A523" s="706" t="s">
        <v>1147</v>
      </c>
      <c r="B523" s="706">
        <v>2025</v>
      </c>
      <c r="C523" s="706" t="s">
        <v>2249</v>
      </c>
      <c r="D523" s="706" t="s">
        <v>2250</v>
      </c>
      <c r="E523" s="706" t="s">
        <v>1148</v>
      </c>
      <c r="F523" s="706" t="s">
        <v>1148</v>
      </c>
      <c r="G523" s="706">
        <v>0</v>
      </c>
      <c r="H523" s="706">
        <v>91238</v>
      </c>
      <c r="I523" s="706">
        <v>91238</v>
      </c>
      <c r="J523" s="706">
        <v>249031</v>
      </c>
      <c r="K523" s="706">
        <v>353031</v>
      </c>
      <c r="L523" s="706">
        <v>456564</v>
      </c>
      <c r="M523" s="706">
        <v>456564</v>
      </c>
      <c r="N523" s="706">
        <v>658465</v>
      </c>
      <c r="O523" s="706">
        <v>658465</v>
      </c>
      <c r="P523" s="706">
        <v>943086</v>
      </c>
      <c r="Q523" s="706">
        <v>943086</v>
      </c>
      <c r="R523" s="706">
        <v>943086</v>
      </c>
      <c r="S523" s="706">
        <v>85735.09</v>
      </c>
      <c r="T523" s="706">
        <v>85735.09</v>
      </c>
      <c r="U523" s="706">
        <v>0</v>
      </c>
      <c r="V523" s="706">
        <v>0</v>
      </c>
      <c r="W523" s="706">
        <v>1</v>
      </c>
      <c r="X523" s="706">
        <v>1</v>
      </c>
      <c r="Y523" s="706">
        <v>2</v>
      </c>
      <c r="Z523" s="706">
        <v>3</v>
      </c>
      <c r="AA523" s="706">
        <v>4</v>
      </c>
      <c r="AB523" s="706">
        <v>4</v>
      </c>
      <c r="AC523" s="706">
        <v>6</v>
      </c>
      <c r="AD523" s="706">
        <v>6</v>
      </c>
      <c r="AE523" s="706">
        <v>8</v>
      </c>
      <c r="AF523" s="706">
        <v>8</v>
      </c>
      <c r="AG523" s="706">
        <v>8</v>
      </c>
      <c r="AH523" s="706">
        <v>1</v>
      </c>
      <c r="AI523" s="706">
        <v>1</v>
      </c>
      <c r="AJ523" s="905" t="str">
        <f t="shared" si="48"/>
        <v>G40500</v>
      </c>
      <c r="AK523" s="905" t="str">
        <f t="shared" si="49"/>
        <v>VTES-CORVETTE</v>
      </c>
      <c r="AL523" s="905">
        <f>IFERROR(INDEX(G523:R523,1,MATCH(Parametres!$B$3,G$1:R$1,0)-1)*IF(OR(F523="L",F523="S",F523="I"),-1,1),"")</f>
        <v>-943086</v>
      </c>
      <c r="AM523" s="905">
        <f t="shared" si="50"/>
        <v>0</v>
      </c>
      <c r="AN523" s="905">
        <f>INDEX(G523:R523,1,MATCH(Parametres!$B$3,G$1:R$1,0))*IF(OR(F523="L",F523="S",F523="I"),-1,1)</f>
        <v>-943086</v>
      </c>
      <c r="AO523" s="487" t="str">
        <f>+VLOOKUP($AJ523,Data_Validation!$A:$D,1,0)</f>
        <v>G40500</v>
      </c>
      <c r="AP523" s="487" t="str">
        <f>+VLOOKUP($AJ523,Data_Validation!$A:$D,3,0)</f>
        <v>Véhicules neufs</v>
      </c>
      <c r="AQ523" s="487" t="str">
        <f>+VLOOKUP($AJ523,Data_Validation!$A:$D,4,0)</f>
        <v>Autos détail</v>
      </c>
      <c r="AR523" s="487" t="s">
        <v>299</v>
      </c>
      <c r="AS523" s="487" t="str">
        <f>+VLOOKUP($AJ523,Data_Validation!$A:$E,5,0)</f>
        <v>Oui</v>
      </c>
      <c r="AT523" s="904" t="str">
        <f t="shared" si="51"/>
        <v>G40500</v>
      </c>
      <c r="AU523" s="488" t="str">
        <f t="shared" si="52"/>
        <v>VTES-CORVETTE</v>
      </c>
      <c r="AV523" s="899">
        <f>IFERROR(INDEX(V523:AG523,1,MATCH(Parametres!$B$3,V$1:AG$1,0)-1)*IF(OR(C523="L",C523="S",C523="I"),-1,1),"")</f>
        <v>8</v>
      </c>
      <c r="AW523" s="899">
        <f t="shared" si="53"/>
        <v>0</v>
      </c>
      <c r="AX523" s="899">
        <f>INDEX(V523:AG523,1,MATCH(Parametres!$B$3,V$1:AG$1,0))*IF(OR(C523="L",C523="S",C523="I"),-1,1)</f>
        <v>8</v>
      </c>
      <c r="AY523" s="487" t="s">
        <v>337</v>
      </c>
      <c r="AZ523" s="487" t="str">
        <f>+VLOOKUP($AJ523,Data_Validation!$A:$E,5,0)</f>
        <v>Oui</v>
      </c>
    </row>
    <row r="524" spans="1:52" ht="15" customHeight="1">
      <c r="A524" s="706" t="s">
        <v>1147</v>
      </c>
      <c r="B524" s="706">
        <v>2025</v>
      </c>
      <c r="C524" s="706" t="s">
        <v>2251</v>
      </c>
      <c r="D524" s="706" t="s">
        <v>2252</v>
      </c>
      <c r="E524" s="706" t="s">
        <v>1148</v>
      </c>
      <c r="F524" s="706" t="s">
        <v>1148</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G40600</v>
      </c>
      <c r="AK524" s="905" t="str">
        <f t="shared" si="49"/>
        <v>VTES-AVEO</v>
      </c>
      <c r="AL524" s="905">
        <f>IFERROR(INDEX(G524:R524,1,MATCH(Parametres!$B$3,G$1:R$1,0)-1)*IF(OR(F524="L",F524="S",F524="I"),-1,1),"")</f>
        <v>0</v>
      </c>
      <c r="AM524" s="905">
        <f t="shared" si="50"/>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t="str">
        <f t="shared" si="51"/>
        <v>G40600</v>
      </c>
      <c r="AU524" s="488" t="str">
        <f t="shared" si="52"/>
        <v>VTES-AVEO</v>
      </c>
      <c r="AV524" s="899">
        <f>IFERROR(INDEX(V524:AG524,1,MATCH(Parametres!$B$3,V$1:AG$1,0)-1)*IF(OR(C524="L",C524="S",C524="I"),-1,1),"")</f>
        <v>0</v>
      </c>
      <c r="AW524" s="899">
        <f t="shared" si="53"/>
        <v>0</v>
      </c>
      <c r="AX524" s="899">
        <f>INDEX(V524:AG524,1,MATCH(Parametres!$B$3,V$1:AG$1,0))*IF(OR(C524="L",C524="S",C524="I"),-1,1)</f>
        <v>0</v>
      </c>
      <c r="AY524" s="487" t="s">
        <v>337</v>
      </c>
      <c r="AZ524" s="487" t="e">
        <f>+VLOOKUP($AJ524,Data_Validation!$A:$E,5,0)</f>
        <v>#N/A</v>
      </c>
    </row>
    <row r="525" spans="1:52" ht="15" customHeight="1">
      <c r="A525" s="706" t="s">
        <v>1147</v>
      </c>
      <c r="B525" s="706">
        <v>2025</v>
      </c>
      <c r="C525" s="706" t="s">
        <v>2253</v>
      </c>
      <c r="D525" s="706" t="s">
        <v>2254</v>
      </c>
      <c r="E525" s="706" t="s">
        <v>1148</v>
      </c>
      <c r="F525" s="706" t="s">
        <v>1148</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G40620</v>
      </c>
      <c r="AK525" s="905" t="str">
        <f t="shared" si="49"/>
        <v>VTES-AVEO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G40620</v>
      </c>
      <c r="AU525" s="488" t="str">
        <f t="shared" si="52"/>
        <v>VTES-AVEO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1147</v>
      </c>
      <c r="B526" s="706">
        <v>2025</v>
      </c>
      <c r="C526" s="706" t="s">
        <v>2255</v>
      </c>
      <c r="D526" s="706" t="s">
        <v>2256</v>
      </c>
      <c r="E526" s="706" t="s">
        <v>1148</v>
      </c>
      <c r="F526" s="706" t="s">
        <v>1148</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G40700</v>
      </c>
      <c r="AK526" s="905" t="str">
        <f t="shared" si="49"/>
        <v>VENTES BOLT - EV</v>
      </c>
      <c r="AL526" s="905">
        <f>IFERROR(INDEX(G526:R526,1,MATCH(Parametres!$B$3,G$1:R$1,0)-1)*IF(OR(F526="L",F526="S",F526="I"),-1,1),"")</f>
        <v>0</v>
      </c>
      <c r="AM526" s="905">
        <f t="shared" si="50"/>
        <v>0</v>
      </c>
      <c r="AN526" s="905">
        <f>INDEX(G526:R526,1,MATCH(Parametres!$B$3,G$1:R$1,0))*IF(OR(F526="L",F526="S",F526="I"),-1,1)</f>
        <v>0</v>
      </c>
      <c r="AO526" s="487" t="str">
        <f>+VLOOKUP($AJ526,Data_Validation!$A:$D,1,0)</f>
        <v>G40700</v>
      </c>
      <c r="AP526" s="487" t="str">
        <f>+VLOOKUP($AJ526,Data_Validation!$A:$D,3,0)</f>
        <v>Véhicules neufs</v>
      </c>
      <c r="AQ526" s="487" t="str">
        <f>+VLOOKUP($AJ526,Data_Validation!$A:$D,4,0)</f>
        <v>Camions electriques</v>
      </c>
      <c r="AR526" s="487" t="s">
        <v>299</v>
      </c>
      <c r="AS526" s="487" t="str">
        <f>+VLOOKUP($AJ526,Data_Validation!$A:$E,5,0)</f>
        <v>Oui</v>
      </c>
      <c r="AT526" s="904" t="str">
        <f t="shared" si="51"/>
        <v>G40700</v>
      </c>
      <c r="AU526" s="488" t="str">
        <f t="shared" si="52"/>
        <v>VENTES BOLT - EV</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customHeight="1">
      <c r="A527" s="706" t="s">
        <v>1147</v>
      </c>
      <c r="B527" s="706">
        <v>2025</v>
      </c>
      <c r="C527" s="706" t="s">
        <v>2257</v>
      </c>
      <c r="D527" s="706" t="s">
        <v>2258</v>
      </c>
      <c r="E527" s="706" t="s">
        <v>1148</v>
      </c>
      <c r="F527" s="706" t="s">
        <v>1148</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G40720</v>
      </c>
      <c r="AK527" s="905" t="str">
        <f t="shared" si="49"/>
        <v>VTES-OPTRA           -LOC</v>
      </c>
      <c r="AL527" s="905">
        <f>IFERROR(INDEX(G527:R527,1,MATCH(Parametres!$B$3,G$1:R$1,0)-1)*IF(OR(F527="L",F527="S",F527="I"),-1,1),"")</f>
        <v>0</v>
      </c>
      <c r="AM527" s="905">
        <f t="shared" si="50"/>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t="str">
        <f t="shared" si="51"/>
        <v>G40720</v>
      </c>
      <c r="AU527" s="488" t="str">
        <f t="shared" si="52"/>
        <v>VTES-OPTRA           -LOC</v>
      </c>
      <c r="AV527" s="899">
        <f>IFERROR(INDEX(V527:AG527,1,MATCH(Parametres!$B$3,V$1:AG$1,0)-1)*IF(OR(C527="L",C527="S",C527="I"),-1,1),"")</f>
        <v>0</v>
      </c>
      <c r="AW527" s="899">
        <f t="shared" si="53"/>
        <v>0</v>
      </c>
      <c r="AX527" s="899">
        <f>INDEX(V527:AG527,1,MATCH(Parametres!$B$3,V$1:AG$1,0))*IF(OR(C527="L",C527="S",C527="I"),-1,1)</f>
        <v>0</v>
      </c>
      <c r="AY527" s="487" t="s">
        <v>337</v>
      </c>
      <c r="AZ527" s="487" t="e">
        <f>+VLOOKUP($AJ527,Data_Validation!$A:$E,5,0)</f>
        <v>#N/A</v>
      </c>
    </row>
    <row r="528" spans="1:52" ht="15" customHeight="1">
      <c r="A528" s="706" t="s">
        <v>1147</v>
      </c>
      <c r="B528" s="706">
        <v>2025</v>
      </c>
      <c r="C528" s="706" t="s">
        <v>2259</v>
      </c>
      <c r="D528" s="706" t="s">
        <v>2260</v>
      </c>
      <c r="E528" s="706" t="s">
        <v>1148</v>
      </c>
      <c r="F528" s="706" t="s">
        <v>1148</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G40800</v>
      </c>
      <c r="AK528" s="905" t="str">
        <f t="shared" si="49"/>
        <v>VTES-EPICA</v>
      </c>
      <c r="AL528" s="905">
        <f>IFERROR(INDEX(G528:R528,1,MATCH(Parametres!$B$3,G$1:R$1,0)-1)*IF(OR(F528="L",F528="S",F528="I"),-1,1),"")</f>
        <v>0</v>
      </c>
      <c r="AM528" s="905">
        <f t="shared" si="50"/>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t="str">
        <f t="shared" si="51"/>
        <v>G40800</v>
      </c>
      <c r="AU528" s="488" t="str">
        <f t="shared" si="52"/>
        <v>VTES-EPICA</v>
      </c>
      <c r="AV528" s="899">
        <f>IFERROR(INDEX(V528:AG528,1,MATCH(Parametres!$B$3,V$1:AG$1,0)-1)*IF(OR(C528="L",C528="S",C528="I"),-1,1),"")</f>
        <v>0</v>
      </c>
      <c r="AW528" s="899">
        <f t="shared" si="53"/>
        <v>0</v>
      </c>
      <c r="AX528" s="899">
        <f>INDEX(V528:AG528,1,MATCH(Parametres!$B$3,V$1:AG$1,0))*IF(OR(C528="L",C528="S",C528="I"),-1,1)</f>
        <v>0</v>
      </c>
      <c r="AY528" s="487" t="s">
        <v>337</v>
      </c>
      <c r="AZ528" s="487" t="e">
        <f>+VLOOKUP($AJ528,Data_Validation!$A:$E,5,0)</f>
        <v>#N/A</v>
      </c>
    </row>
    <row r="529" spans="1:52" ht="15" customHeight="1">
      <c r="A529" s="706" t="s">
        <v>1147</v>
      </c>
      <c r="B529" s="706">
        <v>2025</v>
      </c>
      <c r="C529" s="706" t="s">
        <v>2261</v>
      </c>
      <c r="D529" s="706" t="s">
        <v>2262</v>
      </c>
      <c r="E529" s="706" t="s">
        <v>1148</v>
      </c>
      <c r="F529" s="706" t="s">
        <v>1148</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G40820</v>
      </c>
      <c r="AK529" s="905" t="str">
        <f t="shared" si="49"/>
        <v>VTES-EPICA           -LOC</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G40820</v>
      </c>
      <c r="AU529" s="488" t="str">
        <f t="shared" si="52"/>
        <v>VTES-EPICA           -LOC</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hidden="1" customHeight="1">
      <c r="A530" s="706" t="s">
        <v>1147</v>
      </c>
      <c r="B530" s="706">
        <v>2025</v>
      </c>
      <c r="C530" s="706" t="s">
        <v>2263</v>
      </c>
      <c r="D530" s="706" t="s">
        <v>2264</v>
      </c>
      <c r="E530" s="706" t="s">
        <v>1148</v>
      </c>
      <c r="F530" s="706" t="s">
        <v>1148</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G40900</v>
      </c>
      <c r="AK530" s="905" t="str">
        <f t="shared" si="49"/>
        <v>VTES-COBALT</v>
      </c>
      <c r="AL530" s="905">
        <f>IFERROR(INDEX(G530:R530,1,MATCH(Parametres!$B$3,G$1:R$1,0)-1)*IF(OR(F530="L",F530="S",F530="I"),-1,1),"")</f>
        <v>0</v>
      </c>
      <c r="AM530" s="905">
        <f t="shared" si="50"/>
        <v>0</v>
      </c>
      <c r="AN530" s="905">
        <f>INDEX(G530:R530,1,MATCH(Parametres!$B$3,G$1:R$1,0))*IF(OR(F530="L",F530="S",F530="I"),-1,1)</f>
        <v>0</v>
      </c>
      <c r="AO530" s="487" t="str">
        <f>+VLOOKUP($AJ530,Data_Validation!$A:$D,1,0)</f>
        <v>G40900</v>
      </c>
      <c r="AP530" s="487" t="str">
        <f>+VLOOKUP($AJ530,Data_Validation!$A:$D,3,0)</f>
        <v>Véhicules neufs</v>
      </c>
      <c r="AQ530" s="487" t="str">
        <f>+VLOOKUP($AJ530,Data_Validation!$A:$D,4,0)</f>
        <v>Autos détail</v>
      </c>
      <c r="AR530" s="487" t="s">
        <v>299</v>
      </c>
      <c r="AS530" s="487" t="str">
        <f>+VLOOKUP($AJ530,Data_Validation!$A:$E,5,0)</f>
        <v>Oui</v>
      </c>
      <c r="AT530" s="904" t="str">
        <f t="shared" si="51"/>
        <v>G40900</v>
      </c>
      <c r="AU530" s="488" t="str">
        <f t="shared" si="52"/>
        <v>VTES-COBALT</v>
      </c>
      <c r="AV530" s="899">
        <f>IFERROR(INDEX(V530:AG530,1,MATCH(Parametres!$B$3,V$1:AG$1,0)-1)*IF(OR(C530="L",C530="S",C530="I"),-1,1),"")</f>
        <v>0</v>
      </c>
      <c r="AW530" s="899">
        <f t="shared" si="53"/>
        <v>0</v>
      </c>
      <c r="AX530" s="899">
        <f>INDEX(V530:AG530,1,MATCH(Parametres!$B$3,V$1:AG$1,0))*IF(OR(C530="L",C530="S",C530="I"),-1,1)</f>
        <v>0</v>
      </c>
      <c r="AY530" s="487" t="s">
        <v>337</v>
      </c>
      <c r="AZ530" s="487" t="str">
        <f>+VLOOKUP($AJ530,Data_Validation!$A:$E,5,0)</f>
        <v>Oui</v>
      </c>
    </row>
    <row r="531" spans="1:52" ht="15" customHeight="1">
      <c r="A531" s="706" t="s">
        <v>1147</v>
      </c>
      <c r="B531" s="706">
        <v>2025</v>
      </c>
      <c r="C531" s="706" t="s">
        <v>2265</v>
      </c>
      <c r="D531" s="706" t="s">
        <v>2266</v>
      </c>
      <c r="E531" s="706" t="s">
        <v>1148</v>
      </c>
      <c r="F531" s="706" t="s">
        <v>1148</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G40920</v>
      </c>
      <c r="AK531" s="905" t="str">
        <f t="shared" ref="AK531:AK594" si="55">D531</f>
        <v>VTES-COBALT          -LOC</v>
      </c>
      <c r="AL531" s="905">
        <f>IFERROR(INDEX(G531:R531,1,MATCH(Parametres!$B$3,G$1:R$1,0)-1)*IF(OR(F531="L",F531="S",F531="I"),-1,1),"")</f>
        <v>0</v>
      </c>
      <c r="AM531" s="905">
        <f t="shared" si="50"/>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t="str">
        <f t="shared" si="51"/>
        <v>G40920</v>
      </c>
      <c r="AU531" s="488" t="str">
        <f t="shared" si="52"/>
        <v>VTES-COBALT          -LOC</v>
      </c>
      <c r="AV531" s="899">
        <f>IFERROR(INDEX(V531:AG531,1,MATCH(Parametres!$B$3,V$1:AG$1,0)-1)*IF(OR(C531="L",C531="S",C531="I"),-1,1),"")</f>
        <v>0</v>
      </c>
      <c r="AW531" s="899">
        <f t="shared" si="53"/>
        <v>0</v>
      </c>
      <c r="AX531" s="899">
        <f>INDEX(V531:AG531,1,MATCH(Parametres!$B$3,V$1:AG$1,0))*IF(OR(C531="L",C531="S",C531="I"),-1,1)</f>
        <v>0</v>
      </c>
      <c r="AY531" s="487" t="s">
        <v>337</v>
      </c>
      <c r="AZ531" s="487" t="e">
        <f>+VLOOKUP($AJ531,Data_Validation!$A:$E,5,0)</f>
        <v>#N/A</v>
      </c>
    </row>
    <row r="532" spans="1:52" ht="15" hidden="1" customHeight="1">
      <c r="A532" s="706" t="s">
        <v>1147</v>
      </c>
      <c r="B532" s="706">
        <v>2025</v>
      </c>
      <c r="C532" s="706" t="s">
        <v>2267</v>
      </c>
      <c r="D532" s="706" t="s">
        <v>2268</v>
      </c>
      <c r="E532" s="706" t="s">
        <v>1148</v>
      </c>
      <c r="F532" s="706" t="s">
        <v>1148</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G41000</v>
      </c>
      <c r="AK532" s="905" t="str">
        <f t="shared" si="55"/>
        <v>VENTES CAMARO</v>
      </c>
      <c r="AL532" s="905">
        <f>IFERROR(INDEX(G532:R532,1,MATCH(Parametres!$B$3,G$1:R$1,0)-1)*IF(OR(F532="L",F532="S",F532="I"),-1,1),"")</f>
        <v>0</v>
      </c>
      <c r="AM532" s="905">
        <f t="shared" si="50"/>
        <v>0</v>
      </c>
      <c r="AN532" s="905">
        <f>INDEX(G532:R532,1,MATCH(Parametres!$B$3,G$1:R$1,0))*IF(OR(F532="L",F532="S",F532="I"),-1,1)</f>
        <v>0</v>
      </c>
      <c r="AO532" s="487" t="str">
        <f>+VLOOKUP($AJ532,Data_Validation!$A:$D,1,0)</f>
        <v>G41000</v>
      </c>
      <c r="AP532" s="487" t="str">
        <f>+VLOOKUP($AJ532,Data_Validation!$A:$D,3,0)</f>
        <v>Véhicules neufs</v>
      </c>
      <c r="AQ532" s="487" t="str">
        <f>+VLOOKUP($AJ532,Data_Validation!$A:$D,4,0)</f>
        <v>Autos détail</v>
      </c>
      <c r="AR532" s="487" t="s">
        <v>299</v>
      </c>
      <c r="AS532" s="487" t="str">
        <f>+VLOOKUP($AJ532,Data_Validation!$A:$E,5,0)</f>
        <v>Oui</v>
      </c>
      <c r="AT532" s="904" t="str">
        <f t="shared" si="51"/>
        <v>G41000</v>
      </c>
      <c r="AU532" s="488" t="str">
        <f t="shared" si="52"/>
        <v>VENTES CAMARO</v>
      </c>
      <c r="AV532" s="899">
        <f>IFERROR(INDEX(V532:AG532,1,MATCH(Parametres!$B$3,V$1:AG$1,0)-1)*IF(OR(C532="L",C532="S",C532="I"),-1,1),"")</f>
        <v>0</v>
      </c>
      <c r="AW532" s="899">
        <f t="shared" si="53"/>
        <v>0</v>
      </c>
      <c r="AX532" s="899">
        <f>INDEX(V532:AG532,1,MATCH(Parametres!$B$3,V$1:AG$1,0))*IF(OR(C532="L",C532="S",C532="I"),-1,1)</f>
        <v>0</v>
      </c>
      <c r="AY532" s="487" t="s">
        <v>337</v>
      </c>
      <c r="AZ532" s="487" t="str">
        <f>+VLOOKUP($AJ532,Data_Validation!$A:$E,5,0)</f>
        <v>Oui</v>
      </c>
    </row>
    <row r="533" spans="1:52" ht="15" hidden="1" customHeight="1">
      <c r="A533" s="706" t="s">
        <v>1147</v>
      </c>
      <c r="B533" s="706">
        <v>2025</v>
      </c>
      <c r="C533" s="706" t="s">
        <v>2269</v>
      </c>
      <c r="D533" s="706" t="s">
        <v>2270</v>
      </c>
      <c r="E533" s="706" t="s">
        <v>1148</v>
      </c>
      <c r="F533" s="706" t="s">
        <v>1148</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G41100</v>
      </c>
      <c r="AK533" s="905" t="str">
        <f t="shared" si="55"/>
        <v>VENTES CRUZE</v>
      </c>
      <c r="AL533" s="905">
        <f>IFERROR(INDEX(G533:R533,1,MATCH(Parametres!$B$3,G$1:R$1,0)-1)*IF(OR(F533="L",F533="S",F533="I"),-1,1),"")</f>
        <v>0</v>
      </c>
      <c r="AM533" s="905">
        <f t="shared" si="50"/>
        <v>0</v>
      </c>
      <c r="AN533" s="905">
        <f>INDEX(G533:R533,1,MATCH(Parametres!$B$3,G$1:R$1,0))*IF(OR(F533="L",F533="S",F533="I"),-1,1)</f>
        <v>0</v>
      </c>
      <c r="AO533" s="487" t="str">
        <f>+VLOOKUP($AJ533,Data_Validation!$A:$D,1,0)</f>
        <v>G41100</v>
      </c>
      <c r="AP533" s="487" t="str">
        <f>+VLOOKUP($AJ533,Data_Validation!$A:$D,3,0)</f>
        <v>Véhicules neufs</v>
      </c>
      <c r="AQ533" s="487" t="str">
        <f>+VLOOKUP($AJ533,Data_Validation!$A:$D,4,0)</f>
        <v>Autos détail</v>
      </c>
      <c r="AR533" s="487" t="s">
        <v>299</v>
      </c>
      <c r="AS533" s="487" t="str">
        <f>+VLOOKUP($AJ533,Data_Validation!$A:$E,5,0)</f>
        <v>Oui</v>
      </c>
      <c r="AT533" s="904" t="str">
        <f t="shared" si="51"/>
        <v>G41100</v>
      </c>
      <c r="AU533" s="488" t="str">
        <f t="shared" si="52"/>
        <v>VENTES CRUZE</v>
      </c>
      <c r="AV533" s="899">
        <f>IFERROR(INDEX(V533:AG533,1,MATCH(Parametres!$B$3,V$1:AG$1,0)-1)*IF(OR(C533="L",C533="S",C533="I"),-1,1),"")</f>
        <v>0</v>
      </c>
      <c r="AW533" s="899">
        <f t="shared" si="53"/>
        <v>0</v>
      </c>
      <c r="AX533" s="899">
        <f>INDEX(V533:AG533,1,MATCH(Parametres!$B$3,V$1:AG$1,0))*IF(OR(C533="L",C533="S",C533="I"),-1,1)</f>
        <v>0</v>
      </c>
      <c r="AY533" s="487" t="s">
        <v>337</v>
      </c>
      <c r="AZ533" s="487" t="str">
        <f>+VLOOKUP($AJ533,Data_Validation!$A:$E,5,0)</f>
        <v>Oui</v>
      </c>
    </row>
    <row r="534" spans="1:52" ht="15" customHeight="1">
      <c r="A534" s="706" t="s">
        <v>1147</v>
      </c>
      <c r="B534" s="706">
        <v>2025</v>
      </c>
      <c r="C534" s="706" t="s">
        <v>2271</v>
      </c>
      <c r="D534" s="706" t="s">
        <v>2272</v>
      </c>
      <c r="E534" s="706" t="s">
        <v>333</v>
      </c>
      <c r="F534" s="706" t="s">
        <v>1148</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G41600</v>
      </c>
      <c r="AK534" s="905" t="str">
        <f t="shared" si="55"/>
        <v>*PROGRAMME GENERAL MOTORS</v>
      </c>
      <c r="AL534" s="905">
        <f>IFERROR(INDEX(G534:R534,1,MATCH(Parametres!$B$3,G$1:R$1,0)-1)*IF(OR(F534="L",F534="S",F534="I"),-1,1),"")</f>
        <v>0</v>
      </c>
      <c r="AM534" s="905">
        <f t="shared" si="50"/>
        <v>0</v>
      </c>
      <c r="AN534" s="905">
        <f>INDEX(G534:R534,1,MATCH(Parametres!$B$3,G$1:R$1,0))*IF(OR(F534="L",F534="S",F534="I"),-1,1)</f>
        <v>0</v>
      </c>
      <c r="AO534" s="487" t="str">
        <f>+VLOOKUP($AJ534,Data_Validation!$A:$D,1,0)</f>
        <v>G41600</v>
      </c>
      <c r="AP534" s="487">
        <f>+VLOOKUP($AJ534,Data_Validation!$A:$D,3,0)</f>
        <v>0</v>
      </c>
      <c r="AQ534" s="487">
        <f>+VLOOKUP($AJ534,Data_Validation!$A:$D,4,0)</f>
        <v>0</v>
      </c>
      <c r="AR534" s="487" t="s">
        <v>299</v>
      </c>
      <c r="AS534" s="487">
        <f>+VLOOKUP($AJ534,Data_Validation!$A:$E,5,0)</f>
        <v>0</v>
      </c>
      <c r="AT534" s="904" t="str">
        <f t="shared" si="51"/>
        <v>G41600</v>
      </c>
      <c r="AU534" s="488" t="str">
        <f t="shared" si="52"/>
        <v>*PROGRAMME GENERAL MOTORS</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customHeight="1">
      <c r="A535" s="706" t="s">
        <v>1147</v>
      </c>
      <c r="B535" s="706">
        <v>2025</v>
      </c>
      <c r="C535" s="706" t="s">
        <v>2273</v>
      </c>
      <c r="D535" s="706" t="s">
        <v>2274</v>
      </c>
      <c r="E535" s="706" t="s">
        <v>1148</v>
      </c>
      <c r="F535" s="706" t="s">
        <v>1148</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G41700</v>
      </c>
      <c r="AK535" s="905" t="str">
        <f t="shared" si="55"/>
        <v>VTES-CHEV AUTOS AUTRES</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G41700</v>
      </c>
      <c r="AU535" s="488" t="str">
        <f t="shared" si="52"/>
        <v>VTES-CHEV AUTOS AUTRES</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1147</v>
      </c>
      <c r="B536" s="706">
        <v>2025</v>
      </c>
      <c r="C536" s="706" t="s">
        <v>2275</v>
      </c>
      <c r="D536" s="706" t="s">
        <v>2276</v>
      </c>
      <c r="E536" s="706" t="s">
        <v>1148</v>
      </c>
      <c r="F536" s="706" t="s">
        <v>1148</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G41720</v>
      </c>
      <c r="AK536" s="905" t="str">
        <f t="shared" si="55"/>
        <v>VTES-CHEV AUTOS AUTRE-LOC</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G41720</v>
      </c>
      <c r="AU536" s="488" t="str">
        <f t="shared" si="52"/>
        <v>VTES-CHEV AUTOS AUTRE-LOC</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1147</v>
      </c>
      <c r="B537" s="706">
        <v>2025</v>
      </c>
      <c r="C537" s="706" t="s">
        <v>2277</v>
      </c>
      <c r="D537" s="706" t="s">
        <v>2278</v>
      </c>
      <c r="E537" s="706" t="s">
        <v>1148</v>
      </c>
      <c r="F537" s="706" t="s">
        <v>1148</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19</v>
      </c>
      <c r="W537" s="706">
        <v>47</v>
      </c>
      <c r="X537" s="706">
        <v>85</v>
      </c>
      <c r="Y537" s="706">
        <v>112</v>
      </c>
      <c r="Z537" s="706">
        <v>137</v>
      </c>
      <c r="AA537" s="706">
        <v>161</v>
      </c>
      <c r="AB537" s="706">
        <v>195</v>
      </c>
      <c r="AC537" s="706">
        <v>242</v>
      </c>
      <c r="AD537" s="706">
        <v>315</v>
      </c>
      <c r="AE537" s="706">
        <v>344</v>
      </c>
      <c r="AF537" s="706">
        <v>373</v>
      </c>
      <c r="AG537" s="706">
        <v>404</v>
      </c>
      <c r="AH537" s="706">
        <v>34</v>
      </c>
      <c r="AI537" s="706">
        <v>34</v>
      </c>
      <c r="AJ537" s="905" t="str">
        <f t="shared" si="54"/>
        <v>G41799</v>
      </c>
      <c r="AK537" s="905" t="str">
        <f t="shared" si="55"/>
        <v>VTES-ECHANGE CONCESSIONN.</v>
      </c>
      <c r="AL537" s="905">
        <f>IFERROR(INDEX(G537:R537,1,MATCH(Parametres!$B$3,G$1:R$1,0)-1)*IF(OR(F537="L",F537="S",F537="I"),-1,1),"")</f>
        <v>0</v>
      </c>
      <c r="AM537" s="905">
        <f t="shared" si="50"/>
        <v>0</v>
      </c>
      <c r="AN537" s="905">
        <f>INDEX(G537:R537,1,MATCH(Parametres!$B$3,G$1:R$1,0))*IF(OR(F537="L",F537="S",F537="I"),-1,1)</f>
        <v>0</v>
      </c>
      <c r="AO537" s="487" t="str">
        <f>+VLOOKUP($AJ537,Data_Validation!$A:$D,1,0)</f>
        <v>G41799</v>
      </c>
      <c r="AP537" s="487">
        <f>+VLOOKUP($AJ537,Data_Validation!$A:$D,3,0)</f>
        <v>0</v>
      </c>
      <c r="AQ537" s="487">
        <f>+VLOOKUP($AJ537,Data_Validation!$A:$D,4,0)</f>
        <v>0</v>
      </c>
      <c r="AR537" s="487" t="s">
        <v>299</v>
      </c>
      <c r="AS537" s="487">
        <f>+VLOOKUP($AJ537,Data_Validation!$A:$E,5,0)</f>
        <v>0</v>
      </c>
      <c r="AT537" s="904" t="str">
        <f t="shared" si="51"/>
        <v>G41799</v>
      </c>
      <c r="AU537" s="488" t="str">
        <f t="shared" si="52"/>
        <v>VTES-ECHANGE CONCESSIONN.</v>
      </c>
      <c r="AV537" s="899">
        <f>IFERROR(INDEX(V537:AG537,1,MATCH(Parametres!$B$3,V$1:AG$1,0)-1)*IF(OR(C537="L",C537="S",C537="I"),-1,1),"")</f>
        <v>373</v>
      </c>
      <c r="AW537" s="899">
        <f t="shared" si="53"/>
        <v>31</v>
      </c>
      <c r="AX537" s="899">
        <f>INDEX(V537:AG537,1,MATCH(Parametres!$B$3,V$1:AG$1,0))*IF(OR(C537="L",C537="S",C537="I"),-1,1)</f>
        <v>404</v>
      </c>
      <c r="AY537" s="487" t="s">
        <v>337</v>
      </c>
      <c r="AZ537" s="487">
        <f>+VLOOKUP($AJ537,Data_Validation!$A:$E,5,0)</f>
        <v>0</v>
      </c>
    </row>
    <row r="538" spans="1:52" ht="15" customHeight="1">
      <c r="A538" s="706" t="s">
        <v>1147</v>
      </c>
      <c r="B538" s="706">
        <v>2025</v>
      </c>
      <c r="C538" s="706" t="s">
        <v>2279</v>
      </c>
      <c r="D538" s="706" t="s">
        <v>2280</v>
      </c>
      <c r="E538" s="706" t="s">
        <v>1148</v>
      </c>
      <c r="F538" s="706" t="s">
        <v>1148</v>
      </c>
      <c r="G538" s="706">
        <v>0</v>
      </c>
      <c r="H538" s="706">
        <v>0</v>
      </c>
      <c r="I538" s="706">
        <v>0</v>
      </c>
      <c r="J538" s="706">
        <v>0</v>
      </c>
      <c r="K538" s="706">
        <v>0</v>
      </c>
      <c r="L538" s="706">
        <v>0</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G41800</v>
      </c>
      <c r="AK538" s="905" t="str">
        <f t="shared" si="55"/>
        <v>AUTRES CHEVROLET</v>
      </c>
      <c r="AL538" s="905">
        <f>IFERROR(INDEX(G538:R538,1,MATCH(Parametres!$B$3,G$1:R$1,0)-1)*IF(OR(F538="L",F538="S",F538="I"),-1,1),"")</f>
        <v>0</v>
      </c>
      <c r="AM538" s="905">
        <f t="shared" si="50"/>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t="str">
        <f t="shared" si="51"/>
        <v>G41800</v>
      </c>
      <c r="AU538" s="488" t="str">
        <f t="shared" si="52"/>
        <v>AUTRES CHEVROLET</v>
      </c>
      <c r="AV538" s="899">
        <f>IFERROR(INDEX(V538:AG538,1,MATCH(Parametres!$B$3,V$1:AG$1,0)-1)*IF(OR(C538="L",C538="S",C538="I"),-1,1),"")</f>
        <v>0</v>
      </c>
      <c r="AW538" s="899">
        <f t="shared" si="53"/>
        <v>0</v>
      </c>
      <c r="AX538" s="899">
        <f>INDEX(V538:AG538,1,MATCH(Parametres!$B$3,V$1:AG$1,0))*IF(OR(C538="L",C538="S",C538="I"),-1,1)</f>
        <v>0</v>
      </c>
      <c r="AY538" s="487" t="s">
        <v>337</v>
      </c>
      <c r="AZ538" s="487" t="e">
        <f>+VLOOKUP($AJ538,Data_Validation!$A:$E,5,0)</f>
        <v>#N/A</v>
      </c>
    </row>
    <row r="539" spans="1:52" ht="15" customHeight="1">
      <c r="A539" s="706" t="s">
        <v>1147</v>
      </c>
      <c r="B539" s="706">
        <v>2025</v>
      </c>
      <c r="C539" s="706" t="s">
        <v>2281</v>
      </c>
      <c r="D539" s="706" t="s">
        <v>2282</v>
      </c>
      <c r="E539" s="706" t="s">
        <v>1148</v>
      </c>
      <c r="F539" s="706" t="s">
        <v>1148</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G42000</v>
      </c>
      <c r="AK539" s="905" t="str">
        <f t="shared" si="55"/>
        <v>VTES-PARCS VOITURES</v>
      </c>
      <c r="AL539" s="905">
        <f>IFERROR(INDEX(G539:R539,1,MATCH(Parametres!$B$3,G$1:R$1,0)-1)*IF(OR(F539="L",F539="S",F539="I"),-1,1),"")</f>
        <v>0</v>
      </c>
      <c r="AM539" s="905">
        <f t="shared" si="50"/>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t="str">
        <f t="shared" si="51"/>
        <v>G42000</v>
      </c>
      <c r="AU539" s="488" t="str">
        <f t="shared" si="52"/>
        <v>VTES-PARCS VOITURES</v>
      </c>
      <c r="AV539" s="899">
        <f>IFERROR(INDEX(V539:AG539,1,MATCH(Parametres!$B$3,V$1:AG$1,0)-1)*IF(OR(C539="L",C539="S",C539="I"),-1,1),"")</f>
        <v>0</v>
      </c>
      <c r="AW539" s="899">
        <f t="shared" si="53"/>
        <v>0</v>
      </c>
      <c r="AX539" s="899">
        <f>INDEX(V539:AG539,1,MATCH(Parametres!$B$3,V$1:AG$1,0))*IF(OR(C539="L",C539="S",C539="I"),-1,1)</f>
        <v>0</v>
      </c>
      <c r="AY539" s="487" t="s">
        <v>337</v>
      </c>
      <c r="AZ539" s="487" t="e">
        <f>+VLOOKUP($AJ539,Data_Validation!$A:$E,5,0)</f>
        <v>#N/A</v>
      </c>
    </row>
    <row r="540" spans="1:52" ht="15" customHeight="1">
      <c r="A540" s="706" t="s">
        <v>1147</v>
      </c>
      <c r="B540" s="706">
        <v>2025</v>
      </c>
      <c r="C540" s="706" t="s">
        <v>2283</v>
      </c>
      <c r="D540" s="706" t="s">
        <v>2284</v>
      </c>
      <c r="E540" s="706" t="s">
        <v>1148</v>
      </c>
      <c r="F540" s="706" t="s">
        <v>1148</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G42100</v>
      </c>
      <c r="AK540" s="905" t="str">
        <f t="shared" si="55"/>
        <v>VTES-VOITURES INTERNE</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G42100</v>
      </c>
      <c r="AU540" s="488" t="str">
        <f t="shared" si="52"/>
        <v>VTES-VOITURES INTERNE</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customHeight="1">
      <c r="A541" s="706" t="s">
        <v>1147</v>
      </c>
      <c r="B541" s="706">
        <v>2025</v>
      </c>
      <c r="C541" s="706" t="s">
        <v>2285</v>
      </c>
      <c r="D541" s="706" t="s">
        <v>2286</v>
      </c>
      <c r="E541" s="706" t="s">
        <v>1148</v>
      </c>
      <c r="F541" s="706" t="s">
        <v>1148</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G42300</v>
      </c>
      <c r="AK541" s="905" t="str">
        <f t="shared" si="55"/>
        <v>VTES-VENTURES-UPLAND VAN</v>
      </c>
      <c r="AL541" s="905">
        <f>IFERROR(INDEX(G541:R541,1,MATCH(Parametres!$B$3,G$1:R$1,0)-1)*IF(OR(F541="L",F541="S",F541="I"),-1,1),"")</f>
        <v>0</v>
      </c>
      <c r="AM541" s="905">
        <f t="shared" si="50"/>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t="str">
        <f t="shared" si="51"/>
        <v>G42300</v>
      </c>
      <c r="AU541" s="488" t="str">
        <f t="shared" si="52"/>
        <v>VTES-VENTURES-UPLAND VAN</v>
      </c>
      <c r="AV541" s="899">
        <f>IFERROR(INDEX(V541:AG541,1,MATCH(Parametres!$B$3,V$1:AG$1,0)-1)*IF(OR(C541="L",C541="S",C541="I"),-1,1),"")</f>
        <v>0</v>
      </c>
      <c r="AW541" s="899">
        <f t="shared" si="53"/>
        <v>0</v>
      </c>
      <c r="AX541" s="899">
        <f>INDEX(V541:AG541,1,MATCH(Parametres!$B$3,V$1:AG$1,0))*IF(OR(C541="L",C541="S",C541="I"),-1,1)</f>
        <v>0</v>
      </c>
      <c r="AY541" s="487" t="s">
        <v>337</v>
      </c>
      <c r="AZ541" s="487" t="e">
        <f>+VLOOKUP($AJ541,Data_Validation!$A:$E,5,0)</f>
        <v>#N/A</v>
      </c>
    </row>
    <row r="542" spans="1:52" ht="15" customHeight="1">
      <c r="A542" s="706" t="s">
        <v>1147</v>
      </c>
      <c r="B542" s="706">
        <v>2025</v>
      </c>
      <c r="C542" s="706" t="s">
        <v>2287</v>
      </c>
      <c r="D542" s="706" t="s">
        <v>2288</v>
      </c>
      <c r="E542" s="706" t="s">
        <v>1148</v>
      </c>
      <c r="F542" s="706" t="s">
        <v>1148</v>
      </c>
      <c r="G542" s="706">
        <v>0</v>
      </c>
      <c r="H542" s="706">
        <v>0</v>
      </c>
      <c r="I542" s="706">
        <v>0</v>
      </c>
      <c r="J542" s="706">
        <v>0</v>
      </c>
      <c r="K542" s="706">
        <v>0</v>
      </c>
      <c r="L542" s="706">
        <v>0</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G42312</v>
      </c>
      <c r="AK542" s="905" t="str">
        <f t="shared" si="55"/>
        <v>VTES-KODIAK/TOPKICK 4/5</v>
      </c>
      <c r="AL542" s="905">
        <f>IFERROR(INDEX(G542:R542,1,MATCH(Parametres!$B$3,G$1:R$1,0)-1)*IF(OR(F542="L",F542="S",F542="I"),-1,1),"")</f>
        <v>0</v>
      </c>
      <c r="AM542" s="905">
        <f t="shared" si="50"/>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t="str">
        <f t="shared" si="51"/>
        <v>G42312</v>
      </c>
      <c r="AU542" s="488" t="str">
        <f t="shared" si="52"/>
        <v>VTES-KODIAK/TOPKICK 4/5</v>
      </c>
      <c r="AV542" s="899">
        <f>IFERROR(INDEX(V542:AG542,1,MATCH(Parametres!$B$3,V$1:AG$1,0)-1)*IF(OR(C542="L",C542="S",C542="I"),-1,1),"")</f>
        <v>0</v>
      </c>
      <c r="AW542" s="899">
        <f t="shared" si="53"/>
        <v>0</v>
      </c>
      <c r="AX542" s="899">
        <f>INDEX(V542:AG542,1,MATCH(Parametres!$B$3,V$1:AG$1,0))*IF(OR(C542="L",C542="S",C542="I"),-1,1)</f>
        <v>0</v>
      </c>
      <c r="AY542" s="487" t="s">
        <v>337</v>
      </c>
      <c r="AZ542" s="487" t="e">
        <f>+VLOOKUP($AJ542,Data_Validation!$A:$E,5,0)</f>
        <v>#N/A</v>
      </c>
    </row>
    <row r="543" spans="1:52" ht="15" customHeight="1">
      <c r="A543" s="706" t="s">
        <v>1147</v>
      </c>
      <c r="B543" s="706">
        <v>2025</v>
      </c>
      <c r="C543" s="706" t="s">
        <v>2289</v>
      </c>
      <c r="D543" s="706" t="s">
        <v>2290</v>
      </c>
      <c r="E543" s="706" t="s">
        <v>1148</v>
      </c>
      <c r="F543" s="706" t="s">
        <v>1148</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G42320</v>
      </c>
      <c r="AK543" s="905" t="str">
        <f t="shared" si="55"/>
        <v>VTES-VENTURE-UPLANDER-LOC</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G42320</v>
      </c>
      <c r="AU543" s="488" t="str">
        <f t="shared" si="52"/>
        <v>VTES-VENTURE-UPLANDER-LOC</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hidden="1" customHeight="1">
      <c r="A544" s="706" t="s">
        <v>1147</v>
      </c>
      <c r="B544" s="706">
        <v>2025</v>
      </c>
      <c r="C544" s="706" t="s">
        <v>2291</v>
      </c>
      <c r="D544" s="706" t="s">
        <v>2292</v>
      </c>
      <c r="E544" s="706" t="s">
        <v>1148</v>
      </c>
      <c r="F544" s="706" t="s">
        <v>1148</v>
      </c>
      <c r="G544" s="706">
        <v>80250.899999999994</v>
      </c>
      <c r="H544" s="706">
        <v>161560.9</v>
      </c>
      <c r="I544" s="706">
        <v>288037.98</v>
      </c>
      <c r="J544" s="706">
        <v>288037.98</v>
      </c>
      <c r="K544" s="706">
        <v>288037.98</v>
      </c>
      <c r="L544" s="706">
        <v>475419.98</v>
      </c>
      <c r="M544" s="706">
        <v>527155.48</v>
      </c>
      <c r="N544" s="706">
        <v>576909.81999999995</v>
      </c>
      <c r="O544" s="706">
        <v>668578.91</v>
      </c>
      <c r="P544" s="706">
        <v>668578.91</v>
      </c>
      <c r="Q544" s="706">
        <v>752886.81</v>
      </c>
      <c r="R544" s="706">
        <v>752886.81</v>
      </c>
      <c r="S544" s="706">
        <v>68444.259999999995</v>
      </c>
      <c r="T544" s="706">
        <v>68444.259999999995</v>
      </c>
      <c r="U544" s="706">
        <v>0</v>
      </c>
      <c r="V544" s="706">
        <v>2</v>
      </c>
      <c r="W544" s="706">
        <v>4</v>
      </c>
      <c r="X544" s="706">
        <v>7</v>
      </c>
      <c r="Y544" s="706">
        <v>7</v>
      </c>
      <c r="Z544" s="706">
        <v>7</v>
      </c>
      <c r="AA544" s="706">
        <v>11</v>
      </c>
      <c r="AB544" s="706">
        <v>12</v>
      </c>
      <c r="AC544" s="706">
        <v>13</v>
      </c>
      <c r="AD544" s="706">
        <v>15</v>
      </c>
      <c r="AE544" s="706">
        <v>15</v>
      </c>
      <c r="AF544" s="706">
        <v>17</v>
      </c>
      <c r="AG544" s="706">
        <v>17</v>
      </c>
      <c r="AH544" s="706">
        <v>2</v>
      </c>
      <c r="AI544" s="706">
        <v>2</v>
      </c>
      <c r="AJ544" s="905" t="str">
        <f t="shared" si="54"/>
        <v>G42400</v>
      </c>
      <c r="AK544" s="905" t="str">
        <f t="shared" si="55"/>
        <v>VTES-TERRAIN</v>
      </c>
      <c r="AL544" s="905">
        <f>IFERROR(INDEX(G544:R544,1,MATCH(Parametres!$B$3,G$1:R$1,0)-1)*IF(OR(F544="L",F544="S",F544="I"),-1,1),"")</f>
        <v>-752886.81</v>
      </c>
      <c r="AM544" s="905">
        <f t="shared" si="50"/>
        <v>0</v>
      </c>
      <c r="AN544" s="905">
        <f>INDEX(G544:R544,1,MATCH(Parametres!$B$3,G$1:R$1,0))*IF(OR(F544="L",F544="S",F544="I"),-1,1)</f>
        <v>-752886.81</v>
      </c>
      <c r="AO544" s="487" t="str">
        <f>+VLOOKUP($AJ544,Data_Validation!$A:$D,1,0)</f>
        <v>G42400</v>
      </c>
      <c r="AP544" s="487" t="str">
        <f>+VLOOKUP($AJ544,Data_Validation!$A:$D,3,0)</f>
        <v>Véhicules neufs</v>
      </c>
      <c r="AQ544" s="487" t="str">
        <f>+VLOOKUP($AJ544,Data_Validation!$A:$D,4,0)</f>
        <v>Camions détail</v>
      </c>
      <c r="AR544" s="487" t="s">
        <v>299</v>
      </c>
      <c r="AS544" s="487" t="str">
        <f>+VLOOKUP($AJ544,Data_Validation!$A:$E,5,0)</f>
        <v>Oui</v>
      </c>
      <c r="AT544" s="904" t="str">
        <f t="shared" si="51"/>
        <v>G42400</v>
      </c>
      <c r="AU544" s="488" t="str">
        <f t="shared" si="52"/>
        <v>VTES-TERRAIN</v>
      </c>
      <c r="AV544" s="899">
        <f>IFERROR(INDEX(V544:AG544,1,MATCH(Parametres!$B$3,V$1:AG$1,0)-1)*IF(OR(C544="L",C544="S",C544="I"),-1,1),"")</f>
        <v>17</v>
      </c>
      <c r="AW544" s="899">
        <f t="shared" si="53"/>
        <v>0</v>
      </c>
      <c r="AX544" s="899">
        <f>INDEX(V544:AG544,1,MATCH(Parametres!$B$3,V$1:AG$1,0))*IF(OR(C544="L",C544="S",C544="I"),-1,1)</f>
        <v>17</v>
      </c>
      <c r="AY544" s="487" t="s">
        <v>337</v>
      </c>
      <c r="AZ544" s="487" t="str">
        <f>+VLOOKUP($AJ544,Data_Validation!$A:$E,5,0)</f>
        <v>Oui</v>
      </c>
    </row>
    <row r="545" spans="1:52" ht="15" hidden="1" customHeight="1">
      <c r="A545" s="706" t="s">
        <v>1147</v>
      </c>
      <c r="B545" s="706">
        <v>2025</v>
      </c>
      <c r="C545" s="706" t="s">
        <v>2293</v>
      </c>
      <c r="D545" s="706" t="s">
        <v>2294</v>
      </c>
      <c r="E545" s="706" t="s">
        <v>1148</v>
      </c>
      <c r="F545" s="706" t="s">
        <v>1148</v>
      </c>
      <c r="G545" s="706">
        <v>0</v>
      </c>
      <c r="H545" s="706">
        <v>0</v>
      </c>
      <c r="I545" s="706">
        <v>0</v>
      </c>
      <c r="J545" s="706">
        <v>0</v>
      </c>
      <c r="K545" s="706">
        <v>0</v>
      </c>
      <c r="L545" s="706">
        <v>0</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G42401</v>
      </c>
      <c r="AK545" s="905" t="str">
        <f t="shared" si="55"/>
        <v>VENTES - BOLT EUV</v>
      </c>
      <c r="AL545" s="905">
        <f>IFERROR(INDEX(G545:R545,1,MATCH(Parametres!$B$3,G$1:R$1,0)-1)*IF(OR(F545="L",F545="S",F545="I"),-1,1),"")</f>
        <v>0</v>
      </c>
      <c r="AM545" s="905">
        <f t="shared" si="50"/>
        <v>0</v>
      </c>
      <c r="AN545" s="905">
        <f>INDEX(G545:R545,1,MATCH(Parametres!$B$3,G$1:R$1,0))*IF(OR(F545="L",F545="S",F545="I"),-1,1)</f>
        <v>0</v>
      </c>
      <c r="AO545" s="487" t="str">
        <f>+VLOOKUP($AJ545,Data_Validation!$A:$D,1,0)</f>
        <v>G42401</v>
      </c>
      <c r="AP545" s="487" t="str">
        <f>+VLOOKUP($AJ545,Data_Validation!$A:$D,3,0)</f>
        <v>Véhicules neufs</v>
      </c>
      <c r="AQ545" s="487" t="str">
        <f>+VLOOKUP($AJ545,Data_Validation!$A:$D,4,0)</f>
        <v>Camions electriques</v>
      </c>
      <c r="AR545" s="487" t="s">
        <v>299</v>
      </c>
      <c r="AS545" s="487" t="str">
        <f>+VLOOKUP($AJ545,Data_Validation!$A:$E,5,0)</f>
        <v>Oui</v>
      </c>
      <c r="AT545" s="904" t="str">
        <f t="shared" si="51"/>
        <v>G42401</v>
      </c>
      <c r="AU545" s="488" t="str">
        <f t="shared" si="52"/>
        <v>VENTES - BOLT EUV</v>
      </c>
      <c r="AV545" s="899">
        <f>IFERROR(INDEX(V545:AG545,1,MATCH(Parametres!$B$3,V$1:AG$1,0)-1)*IF(OR(C545="L",C545="S",C545="I"),-1,1),"")</f>
        <v>0</v>
      </c>
      <c r="AW545" s="899">
        <f t="shared" si="53"/>
        <v>0</v>
      </c>
      <c r="AX545" s="899">
        <f>INDEX(V545:AG545,1,MATCH(Parametres!$B$3,V$1:AG$1,0))*IF(OR(C545="L",C545="S",C545="I"),-1,1)</f>
        <v>0</v>
      </c>
      <c r="AY545" s="487" t="s">
        <v>337</v>
      </c>
      <c r="AZ545" s="487" t="str">
        <f>+VLOOKUP($AJ545,Data_Validation!$A:$E,5,0)</f>
        <v>Oui</v>
      </c>
    </row>
    <row r="546" spans="1:52" ht="15" customHeight="1">
      <c r="A546" s="706" t="s">
        <v>1147</v>
      </c>
      <c r="B546" s="706">
        <v>2025</v>
      </c>
      <c r="C546" s="706" t="s">
        <v>2295</v>
      </c>
      <c r="D546" s="706" t="s">
        <v>2296</v>
      </c>
      <c r="E546" s="706" t="s">
        <v>1148</v>
      </c>
      <c r="F546" s="706" t="s">
        <v>1148</v>
      </c>
      <c r="G546" s="706">
        <v>0</v>
      </c>
      <c r="H546" s="706">
        <v>0</v>
      </c>
      <c r="I546" s="706">
        <v>0</v>
      </c>
      <c r="J546" s="706">
        <v>0</v>
      </c>
      <c r="K546" s="706">
        <v>0</v>
      </c>
      <c r="L546" s="706">
        <v>0</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G42412</v>
      </c>
      <c r="AK546" s="905" t="str">
        <f t="shared" si="55"/>
        <v>VTES-TOPKICK 6/7/8 C</v>
      </c>
      <c r="AL546" s="905">
        <f>IFERROR(INDEX(G546:R546,1,MATCH(Parametres!$B$3,G$1:R$1,0)-1)*IF(OR(F546="L",F546="S",F546="I"),-1,1),"")</f>
        <v>0</v>
      </c>
      <c r="AM546" s="905">
        <f t="shared" si="50"/>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t="str">
        <f t="shared" si="51"/>
        <v>G42412</v>
      </c>
      <c r="AU546" s="488" t="str">
        <f t="shared" si="52"/>
        <v>VTES-TOPKICK 6/7/8 C</v>
      </c>
      <c r="AV546" s="899">
        <f>IFERROR(INDEX(V546:AG546,1,MATCH(Parametres!$B$3,V$1:AG$1,0)-1)*IF(OR(C546="L",C546="S",C546="I"),-1,1),"")</f>
        <v>0</v>
      </c>
      <c r="AW546" s="899">
        <f t="shared" si="53"/>
        <v>0</v>
      </c>
      <c r="AX546" s="899">
        <f>INDEX(V546:AG546,1,MATCH(Parametres!$B$3,V$1:AG$1,0))*IF(OR(C546="L",C546="S",C546="I"),-1,1)</f>
        <v>0</v>
      </c>
      <c r="AY546" s="487" t="s">
        <v>337</v>
      </c>
      <c r="AZ546" s="487" t="e">
        <f>+VLOOKUP($AJ546,Data_Validation!$A:$E,5,0)</f>
        <v>#N/A</v>
      </c>
    </row>
    <row r="547" spans="1:52" ht="15" hidden="1" customHeight="1">
      <c r="A547" s="706" t="s">
        <v>1147</v>
      </c>
      <c r="B547" s="706">
        <v>2025</v>
      </c>
      <c r="C547" s="706" t="s">
        <v>2297</v>
      </c>
      <c r="D547" s="706" t="s">
        <v>2298</v>
      </c>
      <c r="E547" s="706" t="s">
        <v>1148</v>
      </c>
      <c r="F547" s="706" t="s">
        <v>1148</v>
      </c>
      <c r="G547" s="706">
        <v>0</v>
      </c>
      <c r="H547" s="706">
        <v>0</v>
      </c>
      <c r="I547" s="706">
        <v>0</v>
      </c>
      <c r="J547" s="706">
        <v>0</v>
      </c>
      <c r="K547" s="706">
        <v>0</v>
      </c>
      <c r="L547" s="706">
        <v>0</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G42500</v>
      </c>
      <c r="AK547" s="905" t="str">
        <f t="shared" si="55"/>
        <v>VTES-G EXPRESS</v>
      </c>
      <c r="AL547" s="905">
        <f>IFERROR(INDEX(G547:R547,1,MATCH(Parametres!$B$3,G$1:R$1,0)-1)*IF(OR(F547="L",F547="S",F547="I"),-1,1),"")</f>
        <v>0</v>
      </c>
      <c r="AM547" s="905">
        <f t="shared" si="50"/>
        <v>0</v>
      </c>
      <c r="AN547" s="905">
        <f>INDEX(G547:R547,1,MATCH(Parametres!$B$3,G$1:R$1,0))*IF(OR(F547="L",F547="S",F547="I"),-1,1)</f>
        <v>0</v>
      </c>
      <c r="AO547" s="487" t="str">
        <f>+VLOOKUP($AJ547,Data_Validation!$A:$D,1,0)</f>
        <v>G42500</v>
      </c>
      <c r="AP547" s="487" t="str">
        <f>+VLOOKUP($AJ547,Data_Validation!$A:$D,3,0)</f>
        <v>Véhicules neufs</v>
      </c>
      <c r="AQ547" s="487" t="str">
        <f>+VLOOKUP($AJ547,Data_Validation!$A:$D,4,0)</f>
        <v>Camions détail</v>
      </c>
      <c r="AR547" s="487" t="s">
        <v>299</v>
      </c>
      <c r="AS547" s="487" t="str">
        <f>+VLOOKUP($AJ547,Data_Validation!$A:$E,5,0)</f>
        <v>Oui</v>
      </c>
      <c r="AT547" s="904" t="str">
        <f t="shared" si="51"/>
        <v>G42500</v>
      </c>
      <c r="AU547" s="488" t="str">
        <f t="shared" si="52"/>
        <v>VTES-G EXPRESS</v>
      </c>
      <c r="AV547" s="899">
        <f>IFERROR(INDEX(V547:AG547,1,MATCH(Parametres!$B$3,V$1:AG$1,0)-1)*IF(OR(C547="L",C547="S",C547="I"),-1,1),"")</f>
        <v>0</v>
      </c>
      <c r="AW547" s="899">
        <f t="shared" si="53"/>
        <v>0</v>
      </c>
      <c r="AX547" s="899">
        <f>INDEX(V547:AG547,1,MATCH(Parametres!$B$3,V$1:AG$1,0))*IF(OR(C547="L",C547="S",C547="I"),-1,1)</f>
        <v>0</v>
      </c>
      <c r="AY547" s="487" t="s">
        <v>337</v>
      </c>
      <c r="AZ547" s="487" t="str">
        <f>+VLOOKUP($AJ547,Data_Validation!$A:$E,5,0)</f>
        <v>Oui</v>
      </c>
    </row>
    <row r="548" spans="1:52" ht="15" hidden="1" customHeight="1">
      <c r="A548" s="706" t="s">
        <v>1147</v>
      </c>
      <c r="B548" s="706">
        <v>2025</v>
      </c>
      <c r="C548" s="706" t="s">
        <v>2299</v>
      </c>
      <c r="D548" s="706" t="s">
        <v>2300</v>
      </c>
      <c r="E548" s="706" t="s">
        <v>1148</v>
      </c>
      <c r="F548" s="706" t="s">
        <v>1148</v>
      </c>
      <c r="G548" s="706">
        <v>0</v>
      </c>
      <c r="H548" s="706">
        <v>0</v>
      </c>
      <c r="I548" s="706">
        <v>0</v>
      </c>
      <c r="J548" s="706">
        <v>0</v>
      </c>
      <c r="K548" s="706">
        <v>0</v>
      </c>
      <c r="L548" s="706">
        <v>0</v>
      </c>
      <c r="M548" s="706">
        <v>0</v>
      </c>
      <c r="N548" s="706">
        <v>0</v>
      </c>
      <c r="O548" s="706">
        <v>0</v>
      </c>
      <c r="P548" s="706">
        <v>0</v>
      </c>
      <c r="Q548" s="706">
        <v>69053.2</v>
      </c>
      <c r="R548" s="706">
        <v>69053.2</v>
      </c>
      <c r="S548" s="706">
        <v>6277.56</v>
      </c>
      <c r="T548" s="706">
        <v>6277.56</v>
      </c>
      <c r="U548" s="706">
        <v>0</v>
      </c>
      <c r="V548" s="706">
        <v>0</v>
      </c>
      <c r="W548" s="706">
        <v>0</v>
      </c>
      <c r="X548" s="706">
        <v>0</v>
      </c>
      <c r="Y548" s="706">
        <v>0</v>
      </c>
      <c r="Z548" s="706">
        <v>0</v>
      </c>
      <c r="AA548" s="706">
        <v>0</v>
      </c>
      <c r="AB548" s="706">
        <v>0</v>
      </c>
      <c r="AC548" s="706">
        <v>0</v>
      </c>
      <c r="AD548" s="706">
        <v>0</v>
      </c>
      <c r="AE548" s="706">
        <v>0</v>
      </c>
      <c r="AF548" s="706">
        <v>1</v>
      </c>
      <c r="AG548" s="706">
        <v>1</v>
      </c>
      <c r="AH548" s="706">
        <v>0</v>
      </c>
      <c r="AI548" s="706">
        <v>0</v>
      </c>
      <c r="AJ548" s="905" t="str">
        <f t="shared" si="54"/>
        <v>G42502</v>
      </c>
      <c r="AK548" s="905" t="str">
        <f t="shared" si="55"/>
        <v>VENTES SAVANA</v>
      </c>
      <c r="AL548" s="905">
        <f>IFERROR(INDEX(G548:R548,1,MATCH(Parametres!$B$3,G$1:R$1,0)-1)*IF(OR(F548="L",F548="S",F548="I"),-1,1),"")</f>
        <v>-69053.2</v>
      </c>
      <c r="AM548" s="905">
        <f t="shared" si="50"/>
        <v>0</v>
      </c>
      <c r="AN548" s="905">
        <f>INDEX(G548:R548,1,MATCH(Parametres!$B$3,G$1:R$1,0))*IF(OR(F548="L",F548="S",F548="I"),-1,1)</f>
        <v>-69053.2</v>
      </c>
      <c r="AO548" s="487" t="str">
        <f>+VLOOKUP($AJ548,Data_Validation!$A:$D,1,0)</f>
        <v>G42502</v>
      </c>
      <c r="AP548" s="487" t="str">
        <f>+VLOOKUP($AJ548,Data_Validation!$A:$D,3,0)</f>
        <v>Véhicules neufs</v>
      </c>
      <c r="AQ548" s="487" t="str">
        <f>+VLOOKUP($AJ548,Data_Validation!$A:$D,4,0)</f>
        <v>Camions electriques</v>
      </c>
      <c r="AR548" s="487" t="s">
        <v>299</v>
      </c>
      <c r="AS548" s="487" t="str">
        <f>+VLOOKUP($AJ548,Data_Validation!$A:$E,5,0)</f>
        <v>Oui</v>
      </c>
      <c r="AT548" s="904" t="str">
        <f t="shared" si="51"/>
        <v>G42502</v>
      </c>
      <c r="AU548" s="488" t="str">
        <f t="shared" si="52"/>
        <v>VENTES SAVANA</v>
      </c>
      <c r="AV548" s="899">
        <f>IFERROR(INDEX(V548:AG548,1,MATCH(Parametres!$B$3,V$1:AG$1,0)-1)*IF(OR(C548="L",C548="S",C548="I"),-1,1),"")</f>
        <v>1</v>
      </c>
      <c r="AW548" s="899">
        <f t="shared" si="53"/>
        <v>0</v>
      </c>
      <c r="AX548" s="899">
        <f>INDEX(V548:AG548,1,MATCH(Parametres!$B$3,V$1:AG$1,0))*IF(OR(C548="L",C548="S",C548="I"),-1,1)</f>
        <v>1</v>
      </c>
      <c r="AY548" s="487" t="s">
        <v>337</v>
      </c>
      <c r="AZ548" s="487" t="str">
        <f>+VLOOKUP($AJ548,Data_Validation!$A:$E,5,0)</f>
        <v>Oui</v>
      </c>
    </row>
    <row r="549" spans="1:52" ht="15" customHeight="1">
      <c r="A549" s="706" t="s">
        <v>1147</v>
      </c>
      <c r="B549" s="706">
        <v>2025</v>
      </c>
      <c r="C549" s="706" t="s">
        <v>2301</v>
      </c>
      <c r="D549" s="706" t="s">
        <v>2302</v>
      </c>
      <c r="E549" s="706" t="s">
        <v>1148</v>
      </c>
      <c r="F549" s="706" t="s">
        <v>1148</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G42512</v>
      </c>
      <c r="AK549" s="905" t="str">
        <f t="shared" si="55"/>
        <v>VTES-TOPKICK 6/7/8 T</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G42512</v>
      </c>
      <c r="AU549" s="488" t="str">
        <f t="shared" si="52"/>
        <v>VTES-TOPKICK 6/7/8 T</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customHeight="1">
      <c r="A550" s="706" t="s">
        <v>1147</v>
      </c>
      <c r="B550" s="706">
        <v>2025</v>
      </c>
      <c r="C550" s="706" t="s">
        <v>2303</v>
      </c>
      <c r="D550" s="706" t="s">
        <v>2304</v>
      </c>
      <c r="E550" s="706" t="s">
        <v>1148</v>
      </c>
      <c r="F550" s="706" t="s">
        <v>1148</v>
      </c>
      <c r="G550" s="706">
        <v>0</v>
      </c>
      <c r="H550" s="706">
        <v>0</v>
      </c>
      <c r="I550" s="706">
        <v>0</v>
      </c>
      <c r="J550" s="706">
        <v>0</v>
      </c>
      <c r="K550" s="706">
        <v>0</v>
      </c>
      <c r="L550" s="706">
        <v>0</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G42520</v>
      </c>
      <c r="AK550" s="905" t="str">
        <f t="shared" si="55"/>
        <v>VTES-G EXPRESS       -LOC</v>
      </c>
      <c r="AL550" s="905">
        <f>IFERROR(INDEX(G550:R550,1,MATCH(Parametres!$B$3,G$1:R$1,0)-1)*IF(OR(F550="L",F550="S",F550="I"),-1,1),"")</f>
        <v>0</v>
      </c>
      <c r="AM550" s="905">
        <f t="shared" si="50"/>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t="str">
        <f t="shared" si="51"/>
        <v>G42520</v>
      </c>
      <c r="AU550" s="488" t="str">
        <f t="shared" si="52"/>
        <v>VTES-G EXPRESS       -LOC</v>
      </c>
      <c r="AV550" s="899">
        <f>IFERROR(INDEX(V550:AG550,1,MATCH(Parametres!$B$3,V$1:AG$1,0)-1)*IF(OR(C550="L",C550="S",C550="I"),-1,1),"")</f>
        <v>0</v>
      </c>
      <c r="AW550" s="899">
        <f t="shared" si="53"/>
        <v>0</v>
      </c>
      <c r="AX550" s="899">
        <f>INDEX(V550:AG550,1,MATCH(Parametres!$B$3,V$1:AG$1,0))*IF(OR(C550="L",C550="S",C550="I"),-1,1)</f>
        <v>0</v>
      </c>
      <c r="AY550" s="487" t="s">
        <v>337</v>
      </c>
      <c r="AZ550" s="487" t="e">
        <f>+VLOOKUP($AJ550,Data_Validation!$A:$E,5,0)</f>
        <v>#N/A</v>
      </c>
    </row>
    <row r="551" spans="1:52" ht="15" hidden="1" customHeight="1">
      <c r="A551" s="706" t="s">
        <v>1147</v>
      </c>
      <c r="B551" s="706">
        <v>2025</v>
      </c>
      <c r="C551" s="706" t="s">
        <v>2305</v>
      </c>
      <c r="D551" s="706" t="s">
        <v>2306</v>
      </c>
      <c r="E551" s="706" t="s">
        <v>1148</v>
      </c>
      <c r="F551" s="706" t="s">
        <v>1148</v>
      </c>
      <c r="G551" s="706">
        <v>0</v>
      </c>
      <c r="H551" s="706">
        <v>0</v>
      </c>
      <c r="I551" s="706">
        <v>130623.63</v>
      </c>
      <c r="J551" s="706">
        <v>186221.63</v>
      </c>
      <c r="K551" s="706">
        <v>247600.31</v>
      </c>
      <c r="L551" s="706">
        <v>434445.97</v>
      </c>
      <c r="M551" s="706">
        <v>492122.63</v>
      </c>
      <c r="N551" s="706">
        <v>543450.13</v>
      </c>
      <c r="O551" s="706">
        <v>598847.13</v>
      </c>
      <c r="P551" s="706">
        <v>672862.63</v>
      </c>
      <c r="Q551" s="706">
        <v>734298.8</v>
      </c>
      <c r="R551" s="706">
        <v>734298.8</v>
      </c>
      <c r="S551" s="706">
        <v>66754.44</v>
      </c>
      <c r="T551" s="706">
        <v>66754.44</v>
      </c>
      <c r="U551" s="706">
        <v>0</v>
      </c>
      <c r="V551" s="706">
        <v>0</v>
      </c>
      <c r="W551" s="706">
        <v>0</v>
      </c>
      <c r="X551" s="706">
        <v>2</v>
      </c>
      <c r="Y551" s="706">
        <v>3</v>
      </c>
      <c r="Z551" s="706">
        <v>4</v>
      </c>
      <c r="AA551" s="706">
        <v>7</v>
      </c>
      <c r="AB551" s="706">
        <v>8</v>
      </c>
      <c r="AC551" s="706">
        <v>9</v>
      </c>
      <c r="AD551" s="706">
        <v>10</v>
      </c>
      <c r="AE551" s="706">
        <v>11</v>
      </c>
      <c r="AF551" s="706">
        <v>12</v>
      </c>
      <c r="AG551" s="706">
        <v>12</v>
      </c>
      <c r="AH551" s="706">
        <v>1</v>
      </c>
      <c r="AI551" s="706">
        <v>1</v>
      </c>
      <c r="AJ551" s="905" t="str">
        <f t="shared" si="54"/>
        <v>G42600</v>
      </c>
      <c r="AK551" s="905" t="str">
        <f t="shared" si="55"/>
        <v>VTES-S-PICKUP/COLORADO</v>
      </c>
      <c r="AL551" s="905">
        <f>IFERROR(INDEX(G551:R551,1,MATCH(Parametres!$B$3,G$1:R$1,0)-1)*IF(OR(F551="L",F551="S",F551="I"),-1,1),"")</f>
        <v>-734298.8</v>
      </c>
      <c r="AM551" s="905">
        <f t="shared" si="50"/>
        <v>0</v>
      </c>
      <c r="AN551" s="905">
        <f>INDEX(G551:R551,1,MATCH(Parametres!$B$3,G$1:R$1,0))*IF(OR(F551="L",F551="S",F551="I"),-1,1)</f>
        <v>-734298.8</v>
      </c>
      <c r="AO551" s="487" t="str">
        <f>+VLOOKUP($AJ551,Data_Validation!$A:$D,1,0)</f>
        <v>G42600</v>
      </c>
      <c r="AP551" s="487" t="str">
        <f>+VLOOKUP($AJ551,Data_Validation!$A:$D,3,0)</f>
        <v>Véhicules neufs</v>
      </c>
      <c r="AQ551" s="487" t="str">
        <f>+VLOOKUP($AJ551,Data_Validation!$A:$D,4,0)</f>
        <v>Camions détail</v>
      </c>
      <c r="AR551" s="487" t="s">
        <v>299</v>
      </c>
      <c r="AS551" s="487" t="str">
        <f>+VLOOKUP($AJ551,Data_Validation!$A:$E,5,0)</f>
        <v>Oui</v>
      </c>
      <c r="AT551" s="904" t="str">
        <f t="shared" si="51"/>
        <v>G42600</v>
      </c>
      <c r="AU551" s="488" t="str">
        <f t="shared" si="52"/>
        <v>VTES-S-PICKUP/COLORADO</v>
      </c>
      <c r="AV551" s="899">
        <f>IFERROR(INDEX(V551:AG551,1,MATCH(Parametres!$B$3,V$1:AG$1,0)-1)*IF(OR(C551="L",C551="S",C551="I"),-1,1),"")</f>
        <v>12</v>
      </c>
      <c r="AW551" s="899">
        <f t="shared" si="53"/>
        <v>0</v>
      </c>
      <c r="AX551" s="899">
        <f>INDEX(V551:AG551,1,MATCH(Parametres!$B$3,V$1:AG$1,0))*IF(OR(C551="L",C551="S",C551="I"),-1,1)</f>
        <v>12</v>
      </c>
      <c r="AY551" s="487" t="s">
        <v>337</v>
      </c>
      <c r="AZ551" s="487" t="str">
        <f>+VLOOKUP($AJ551,Data_Validation!$A:$E,5,0)</f>
        <v>Oui</v>
      </c>
    </row>
    <row r="552" spans="1:52" ht="15" hidden="1" customHeight="1">
      <c r="A552" s="706" t="s">
        <v>1147</v>
      </c>
      <c r="B552" s="706">
        <v>2025</v>
      </c>
      <c r="C552" s="706" t="s">
        <v>2307</v>
      </c>
      <c r="D552" s="706" t="s">
        <v>2308</v>
      </c>
      <c r="E552" s="706" t="s">
        <v>1148</v>
      </c>
      <c r="F552" s="706" t="s">
        <v>1148</v>
      </c>
      <c r="G552" s="706">
        <v>113349.32</v>
      </c>
      <c r="H552" s="706">
        <v>113349.32</v>
      </c>
      <c r="I552" s="706">
        <v>169201.82</v>
      </c>
      <c r="J552" s="706">
        <v>169201.82</v>
      </c>
      <c r="K552" s="706">
        <v>224412.32</v>
      </c>
      <c r="L552" s="706">
        <v>279895.32</v>
      </c>
      <c r="M552" s="706">
        <v>394812.82</v>
      </c>
      <c r="N552" s="706">
        <v>453520.56</v>
      </c>
      <c r="O552" s="706">
        <v>519228.71</v>
      </c>
      <c r="P552" s="706">
        <v>519228.71</v>
      </c>
      <c r="Q552" s="706">
        <v>587902.77</v>
      </c>
      <c r="R552" s="706">
        <v>587902.77</v>
      </c>
      <c r="S552" s="706">
        <v>53445.71</v>
      </c>
      <c r="T552" s="706">
        <v>53445.71</v>
      </c>
      <c r="U552" s="706">
        <v>0</v>
      </c>
      <c r="V552" s="706">
        <v>2</v>
      </c>
      <c r="W552" s="706">
        <v>2</v>
      </c>
      <c r="X552" s="706">
        <v>3</v>
      </c>
      <c r="Y552" s="706">
        <v>3</v>
      </c>
      <c r="Z552" s="706">
        <v>4</v>
      </c>
      <c r="AA552" s="706">
        <v>5</v>
      </c>
      <c r="AB552" s="706">
        <v>7</v>
      </c>
      <c r="AC552" s="706">
        <v>8</v>
      </c>
      <c r="AD552" s="706">
        <v>9</v>
      </c>
      <c r="AE552" s="706">
        <v>9</v>
      </c>
      <c r="AF552" s="706">
        <v>10</v>
      </c>
      <c r="AG552" s="706">
        <v>10</v>
      </c>
      <c r="AH552" s="706">
        <v>1</v>
      </c>
      <c r="AI552" s="706">
        <v>1</v>
      </c>
      <c r="AJ552" s="905" t="str">
        <f t="shared" si="54"/>
        <v>G42602</v>
      </c>
      <c r="AK552" s="905" t="str">
        <f t="shared" si="55"/>
        <v>VENTES GMC CANYON</v>
      </c>
      <c r="AL552" s="905">
        <f>IFERROR(INDEX(G552:R552,1,MATCH(Parametres!$B$3,G$1:R$1,0)-1)*IF(OR(F552="L",F552="S",F552="I"),-1,1),"")</f>
        <v>-587902.77</v>
      </c>
      <c r="AM552" s="905">
        <f t="shared" si="50"/>
        <v>0</v>
      </c>
      <c r="AN552" s="905">
        <f>INDEX(G552:R552,1,MATCH(Parametres!$B$3,G$1:R$1,0))*IF(OR(F552="L",F552="S",F552="I"),-1,1)</f>
        <v>-587902.77</v>
      </c>
      <c r="AO552" s="487" t="str">
        <f>+VLOOKUP($AJ552,Data_Validation!$A:$D,1,0)</f>
        <v>G42602</v>
      </c>
      <c r="AP552" s="487" t="str">
        <f>+VLOOKUP($AJ552,Data_Validation!$A:$D,3,0)</f>
        <v>Véhicules neufs</v>
      </c>
      <c r="AQ552" s="487" t="str">
        <f>+VLOOKUP($AJ552,Data_Validation!$A:$D,4,0)</f>
        <v>Camions détail</v>
      </c>
      <c r="AR552" s="487" t="s">
        <v>299</v>
      </c>
      <c r="AS552" s="487" t="str">
        <f>+VLOOKUP($AJ552,Data_Validation!$A:$E,5,0)</f>
        <v>Oui</v>
      </c>
      <c r="AT552" s="904" t="str">
        <f t="shared" si="51"/>
        <v>G42602</v>
      </c>
      <c r="AU552" s="488" t="str">
        <f t="shared" si="52"/>
        <v>VENTES GMC CANYON</v>
      </c>
      <c r="AV552" s="899">
        <f>IFERROR(INDEX(V552:AG552,1,MATCH(Parametres!$B$3,V$1:AG$1,0)-1)*IF(OR(C552="L",C552="S",C552="I"),-1,1),"")</f>
        <v>10</v>
      </c>
      <c r="AW552" s="899">
        <f t="shared" si="53"/>
        <v>0</v>
      </c>
      <c r="AX552" s="899">
        <f>INDEX(V552:AG552,1,MATCH(Parametres!$B$3,V$1:AG$1,0))*IF(OR(C552="L",C552="S",C552="I"),-1,1)</f>
        <v>10</v>
      </c>
      <c r="AY552" s="487" t="s">
        <v>337</v>
      </c>
      <c r="AZ552" s="487" t="str">
        <f>+VLOOKUP($AJ552,Data_Validation!$A:$E,5,0)</f>
        <v>Oui</v>
      </c>
    </row>
    <row r="553" spans="1:52" ht="15" hidden="1" customHeight="1">
      <c r="A553" s="706" t="s">
        <v>1147</v>
      </c>
      <c r="B553" s="706">
        <v>2025</v>
      </c>
      <c r="C553" s="706" t="s">
        <v>2309</v>
      </c>
      <c r="D553" s="706" t="s">
        <v>2310</v>
      </c>
      <c r="E553" s="706" t="s">
        <v>1148</v>
      </c>
      <c r="F553" s="706" t="s">
        <v>1148</v>
      </c>
      <c r="G553" s="706">
        <v>0</v>
      </c>
      <c r="H553" s="706">
        <v>0</v>
      </c>
      <c r="I553" s="706">
        <v>174141.02</v>
      </c>
      <c r="J553" s="706">
        <v>220855.96</v>
      </c>
      <c r="K553" s="706">
        <v>315660.46000000002</v>
      </c>
      <c r="L553" s="706">
        <v>315660.46000000002</v>
      </c>
      <c r="M553" s="706">
        <v>315660.46000000002</v>
      </c>
      <c r="N553" s="706">
        <v>368149.42</v>
      </c>
      <c r="O553" s="706">
        <v>419864.92</v>
      </c>
      <c r="P553" s="706">
        <v>474342.42</v>
      </c>
      <c r="Q553" s="706">
        <v>524969.48</v>
      </c>
      <c r="R553" s="706">
        <v>634679.48</v>
      </c>
      <c r="S553" s="706">
        <v>47724.5</v>
      </c>
      <c r="T553" s="706">
        <v>47724.5</v>
      </c>
      <c r="U553" s="706">
        <v>0</v>
      </c>
      <c r="V553" s="706">
        <v>0</v>
      </c>
      <c r="W553" s="706">
        <v>0</v>
      </c>
      <c r="X553" s="706">
        <v>4</v>
      </c>
      <c r="Y553" s="706">
        <v>5</v>
      </c>
      <c r="Z553" s="706">
        <v>7</v>
      </c>
      <c r="AA553" s="706">
        <v>7</v>
      </c>
      <c r="AB553" s="706">
        <v>7</v>
      </c>
      <c r="AC553" s="706">
        <v>8</v>
      </c>
      <c r="AD553" s="706">
        <v>9</v>
      </c>
      <c r="AE553" s="706">
        <v>10</v>
      </c>
      <c r="AF553" s="706">
        <v>11</v>
      </c>
      <c r="AG553" s="706">
        <v>13</v>
      </c>
      <c r="AH553" s="706">
        <v>1</v>
      </c>
      <c r="AI553" s="706">
        <v>1</v>
      </c>
      <c r="AJ553" s="905" t="str">
        <f t="shared" si="54"/>
        <v>G42612</v>
      </c>
      <c r="AK553" s="905" t="str">
        <f t="shared" si="55"/>
        <v>VTES-BUICK ENVISION</v>
      </c>
      <c r="AL553" s="905">
        <f>IFERROR(INDEX(G553:R553,1,MATCH(Parametres!$B$3,G$1:R$1,0)-1)*IF(OR(F553="L",F553="S",F553="I"),-1,1),"")</f>
        <v>-524969.48</v>
      </c>
      <c r="AM553" s="905">
        <f t="shared" si="50"/>
        <v>-109710</v>
      </c>
      <c r="AN553" s="905">
        <f>INDEX(G553:R553,1,MATCH(Parametres!$B$3,G$1:R$1,0))*IF(OR(F553="L",F553="S",F553="I"),-1,1)</f>
        <v>-634679.48</v>
      </c>
      <c r="AO553" s="487" t="str">
        <f>+VLOOKUP($AJ553,Data_Validation!$A:$D,1,0)</f>
        <v>G42612</v>
      </c>
      <c r="AP553" s="487" t="str">
        <f>+VLOOKUP($AJ553,Data_Validation!$A:$D,3,0)</f>
        <v>Véhicules neufs</v>
      </c>
      <c r="AQ553" s="487" t="str">
        <f>+VLOOKUP($AJ553,Data_Validation!$A:$D,4,0)</f>
        <v>Camions détail</v>
      </c>
      <c r="AR553" s="487" t="s">
        <v>299</v>
      </c>
      <c r="AS553" s="487" t="str">
        <f>+VLOOKUP($AJ553,Data_Validation!$A:$E,5,0)</f>
        <v>Oui</v>
      </c>
      <c r="AT553" s="904" t="str">
        <f t="shared" si="51"/>
        <v>G42612</v>
      </c>
      <c r="AU553" s="488" t="str">
        <f t="shared" si="52"/>
        <v>VTES-BUICK ENVISION</v>
      </c>
      <c r="AV553" s="899">
        <f>IFERROR(INDEX(V553:AG553,1,MATCH(Parametres!$B$3,V$1:AG$1,0)-1)*IF(OR(C553="L",C553="S",C553="I"),-1,1),"")</f>
        <v>11</v>
      </c>
      <c r="AW553" s="899">
        <f t="shared" si="53"/>
        <v>2</v>
      </c>
      <c r="AX553" s="899">
        <f>INDEX(V553:AG553,1,MATCH(Parametres!$B$3,V$1:AG$1,0))*IF(OR(C553="L",C553="S",C553="I"),-1,1)</f>
        <v>13</v>
      </c>
      <c r="AY553" s="487" t="s">
        <v>337</v>
      </c>
      <c r="AZ553" s="487" t="str">
        <f>+VLOOKUP($AJ553,Data_Validation!$A:$E,5,0)</f>
        <v>Oui</v>
      </c>
    </row>
    <row r="554" spans="1:52" ht="15" hidden="1" customHeight="1">
      <c r="A554" s="706" t="s">
        <v>1147</v>
      </c>
      <c r="B554" s="706">
        <v>2025</v>
      </c>
      <c r="C554" s="706" t="s">
        <v>2311</v>
      </c>
      <c r="D554" s="706" t="s">
        <v>2312</v>
      </c>
      <c r="E554" s="706" t="s">
        <v>1148</v>
      </c>
      <c r="F554" s="706" t="s">
        <v>1148</v>
      </c>
      <c r="G554" s="706">
        <v>32613.360000000001</v>
      </c>
      <c r="H554" s="706">
        <v>66006.36</v>
      </c>
      <c r="I554" s="706">
        <v>98901.86</v>
      </c>
      <c r="J554" s="706">
        <v>168492.53</v>
      </c>
      <c r="K554" s="706">
        <v>338212.93</v>
      </c>
      <c r="L554" s="706">
        <v>338212.93</v>
      </c>
      <c r="M554" s="706">
        <v>435477.19</v>
      </c>
      <c r="N554" s="706">
        <v>499895.69</v>
      </c>
      <c r="O554" s="706">
        <v>531094.68999999994</v>
      </c>
      <c r="P554" s="706">
        <v>634569.68999999994</v>
      </c>
      <c r="Q554" s="706">
        <v>737725.19</v>
      </c>
      <c r="R554" s="706">
        <v>807777.02</v>
      </c>
      <c r="S554" s="706">
        <v>67065.929999999993</v>
      </c>
      <c r="T554" s="706">
        <v>67065.929999999993</v>
      </c>
      <c r="U554" s="706">
        <v>0</v>
      </c>
      <c r="V554" s="706">
        <v>1</v>
      </c>
      <c r="W554" s="706">
        <v>2</v>
      </c>
      <c r="X554" s="706">
        <v>3</v>
      </c>
      <c r="Y554" s="706">
        <v>5</v>
      </c>
      <c r="Z554" s="706">
        <v>10</v>
      </c>
      <c r="AA554" s="706">
        <v>10</v>
      </c>
      <c r="AB554" s="706">
        <v>13</v>
      </c>
      <c r="AC554" s="706">
        <v>15</v>
      </c>
      <c r="AD554" s="706">
        <v>16</v>
      </c>
      <c r="AE554" s="706">
        <v>19</v>
      </c>
      <c r="AF554" s="706">
        <v>22</v>
      </c>
      <c r="AG554" s="706">
        <v>24</v>
      </c>
      <c r="AH554" s="706">
        <v>2</v>
      </c>
      <c r="AI554" s="706">
        <v>2</v>
      </c>
      <c r="AJ554" s="905" t="str">
        <f t="shared" si="54"/>
        <v>G42613</v>
      </c>
      <c r="AK554" s="905" t="str">
        <f t="shared" si="55"/>
        <v>VTES-BUICK ENVISTA</v>
      </c>
      <c r="AL554" s="905">
        <f>IFERROR(INDEX(G554:R554,1,MATCH(Parametres!$B$3,G$1:R$1,0)-1)*IF(OR(F554="L",F554="S",F554="I"),-1,1),"")</f>
        <v>-737725.19</v>
      </c>
      <c r="AM554" s="905">
        <f t="shared" si="50"/>
        <v>-70051.830000000075</v>
      </c>
      <c r="AN554" s="905">
        <f>INDEX(G554:R554,1,MATCH(Parametres!$B$3,G$1:R$1,0))*IF(OR(F554="L",F554="S",F554="I"),-1,1)</f>
        <v>-807777.02</v>
      </c>
      <c r="AO554" s="487" t="str">
        <f>+VLOOKUP($AJ554,Data_Validation!$A:$D,1,0)</f>
        <v>G42613</v>
      </c>
      <c r="AP554" s="487" t="str">
        <f>+VLOOKUP($AJ554,Data_Validation!$A:$D,3,0)</f>
        <v>Véhicules neufs</v>
      </c>
      <c r="AQ554" s="487" t="str">
        <f>+VLOOKUP($AJ554,Data_Validation!$A:$D,4,0)</f>
        <v>Camions détail</v>
      </c>
      <c r="AR554" s="487" t="s">
        <v>299</v>
      </c>
      <c r="AS554" s="487" t="str">
        <f>+VLOOKUP($AJ554,Data_Validation!$A:$E,5,0)</f>
        <v>Oui</v>
      </c>
      <c r="AT554" s="904" t="str">
        <f t="shared" si="51"/>
        <v>G42613</v>
      </c>
      <c r="AU554" s="488" t="str">
        <f t="shared" si="52"/>
        <v>VTES-BUICK ENVISTA</v>
      </c>
      <c r="AV554" s="899">
        <f>IFERROR(INDEX(V554:AG554,1,MATCH(Parametres!$B$3,V$1:AG$1,0)-1)*IF(OR(C554="L",C554="S",C554="I"),-1,1),"")</f>
        <v>22</v>
      </c>
      <c r="AW554" s="899">
        <f t="shared" si="53"/>
        <v>2</v>
      </c>
      <c r="AX554" s="899">
        <f>INDEX(V554:AG554,1,MATCH(Parametres!$B$3,V$1:AG$1,0))*IF(OR(C554="L",C554="S",C554="I"),-1,1)</f>
        <v>24</v>
      </c>
      <c r="AY554" s="487" t="s">
        <v>337</v>
      </c>
      <c r="AZ554" s="487" t="str">
        <f>+VLOOKUP($AJ554,Data_Validation!$A:$E,5,0)</f>
        <v>Oui</v>
      </c>
    </row>
    <row r="555" spans="1:52" ht="15" customHeight="1">
      <c r="A555" s="706" t="s">
        <v>1147</v>
      </c>
      <c r="B555" s="706">
        <v>2025</v>
      </c>
      <c r="C555" s="706" t="s">
        <v>2313</v>
      </c>
      <c r="D555" s="706" t="s">
        <v>2314</v>
      </c>
      <c r="E555" s="706" t="s">
        <v>1148</v>
      </c>
      <c r="F555" s="706" t="s">
        <v>1148</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G42620</v>
      </c>
      <c r="AK555" s="905" t="str">
        <f t="shared" si="55"/>
        <v>VTES-SPICK/COLORDO   -LOC</v>
      </c>
      <c r="AL555" s="905">
        <f>IFERROR(INDEX(G555:R555,1,MATCH(Parametres!$B$3,G$1:R$1,0)-1)*IF(OR(F555="L",F555="S",F555="I"),-1,1),"")</f>
        <v>0</v>
      </c>
      <c r="AM555" s="905">
        <f t="shared" si="50"/>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t="str">
        <f t="shared" si="51"/>
        <v>G42620</v>
      </c>
      <c r="AU555" s="488" t="str">
        <f t="shared" si="52"/>
        <v>VTES-SPICK/COLORDO   -LOC</v>
      </c>
      <c r="AV555" s="899">
        <f>IFERROR(INDEX(V555:AG555,1,MATCH(Parametres!$B$3,V$1:AG$1,0)-1)*IF(OR(C555="L",C555="S",C555="I"),-1,1),"")</f>
        <v>0</v>
      </c>
      <c r="AW555" s="899">
        <f t="shared" si="53"/>
        <v>0</v>
      </c>
      <c r="AX555" s="899">
        <f>INDEX(V555:AG555,1,MATCH(Parametres!$B$3,V$1:AG$1,0))*IF(OR(C555="L",C555="S",C555="I"),-1,1)</f>
        <v>0</v>
      </c>
      <c r="AY555" s="487" t="s">
        <v>337</v>
      </c>
      <c r="AZ555" s="487" t="e">
        <f>+VLOOKUP($AJ555,Data_Validation!$A:$E,5,0)</f>
        <v>#N/A</v>
      </c>
    </row>
    <row r="556" spans="1:52" ht="15" hidden="1" customHeight="1">
      <c r="A556" s="706" t="s">
        <v>1147</v>
      </c>
      <c r="B556" s="706">
        <v>2025</v>
      </c>
      <c r="C556" s="706" t="s">
        <v>2315</v>
      </c>
      <c r="D556" s="706" t="s">
        <v>2316</v>
      </c>
      <c r="E556" s="706" t="s">
        <v>1148</v>
      </c>
      <c r="F556" s="706" t="s">
        <v>1148</v>
      </c>
      <c r="G556" s="706">
        <v>0</v>
      </c>
      <c r="H556" s="706">
        <v>61569.440000000002</v>
      </c>
      <c r="I556" s="706">
        <v>119374.41</v>
      </c>
      <c r="J556" s="706">
        <v>119374.41</v>
      </c>
      <c r="K556" s="706">
        <v>119374.41</v>
      </c>
      <c r="L556" s="706">
        <v>119374.41</v>
      </c>
      <c r="M556" s="706">
        <v>182913.41</v>
      </c>
      <c r="N556" s="706">
        <v>237347.41</v>
      </c>
      <c r="O556" s="706">
        <v>299290.40999999997</v>
      </c>
      <c r="P556" s="706">
        <v>299290.40999999997</v>
      </c>
      <c r="Q556" s="706">
        <v>369733.41</v>
      </c>
      <c r="R556" s="706">
        <v>564607.91</v>
      </c>
      <c r="S556" s="706">
        <v>33612.129999999997</v>
      </c>
      <c r="T556" s="706">
        <v>33612.129999999997</v>
      </c>
      <c r="U556" s="706">
        <v>0</v>
      </c>
      <c r="V556" s="706">
        <v>0</v>
      </c>
      <c r="W556" s="706">
        <v>1</v>
      </c>
      <c r="X556" s="706">
        <v>2</v>
      </c>
      <c r="Y556" s="706">
        <v>2</v>
      </c>
      <c r="Z556" s="706">
        <v>2</v>
      </c>
      <c r="AA556" s="706">
        <v>2</v>
      </c>
      <c r="AB556" s="706">
        <v>3</v>
      </c>
      <c r="AC556" s="706">
        <v>4</v>
      </c>
      <c r="AD556" s="706">
        <v>5</v>
      </c>
      <c r="AE556" s="706">
        <v>5</v>
      </c>
      <c r="AF556" s="706">
        <v>6</v>
      </c>
      <c r="AG556" s="706">
        <v>9</v>
      </c>
      <c r="AH556" s="706">
        <v>1</v>
      </c>
      <c r="AI556" s="706">
        <v>1</v>
      </c>
      <c r="AJ556" s="905" t="str">
        <f t="shared" si="54"/>
        <v>G42700</v>
      </c>
      <c r="AK556" s="905" t="str">
        <f t="shared" si="55"/>
        <v>VTES-TRAVERSE</v>
      </c>
      <c r="AL556" s="905">
        <f>IFERROR(INDEX(G556:R556,1,MATCH(Parametres!$B$3,G$1:R$1,0)-1)*IF(OR(F556="L",F556="S",F556="I"),-1,1),"")</f>
        <v>-369733.41</v>
      </c>
      <c r="AM556" s="905">
        <f t="shared" si="50"/>
        <v>-194874.50000000006</v>
      </c>
      <c r="AN556" s="905">
        <f>INDEX(G556:R556,1,MATCH(Parametres!$B$3,G$1:R$1,0))*IF(OR(F556="L",F556="S",F556="I"),-1,1)</f>
        <v>-564607.91</v>
      </c>
      <c r="AO556" s="487" t="str">
        <f>+VLOOKUP($AJ556,Data_Validation!$A:$D,1,0)</f>
        <v>G42700</v>
      </c>
      <c r="AP556" s="487" t="str">
        <f>+VLOOKUP($AJ556,Data_Validation!$A:$D,3,0)</f>
        <v>Véhicules neufs</v>
      </c>
      <c r="AQ556" s="487" t="str">
        <f>+VLOOKUP($AJ556,Data_Validation!$A:$D,4,0)</f>
        <v>Camions détail</v>
      </c>
      <c r="AR556" s="487" t="s">
        <v>299</v>
      </c>
      <c r="AS556" s="487" t="str">
        <f>+VLOOKUP($AJ556,Data_Validation!$A:$E,5,0)</f>
        <v>Oui</v>
      </c>
      <c r="AT556" s="904" t="str">
        <f t="shared" si="51"/>
        <v>G42700</v>
      </c>
      <c r="AU556" s="488" t="str">
        <f t="shared" si="52"/>
        <v>VTES-TRAVERSE</v>
      </c>
      <c r="AV556" s="899">
        <f>IFERROR(INDEX(V556:AG556,1,MATCH(Parametres!$B$3,V$1:AG$1,0)-1)*IF(OR(C556="L",C556="S",C556="I"),-1,1),"")</f>
        <v>6</v>
      </c>
      <c r="AW556" s="899">
        <f t="shared" si="53"/>
        <v>3</v>
      </c>
      <c r="AX556" s="899">
        <f>INDEX(V556:AG556,1,MATCH(Parametres!$B$3,V$1:AG$1,0))*IF(OR(C556="L",C556="S",C556="I"),-1,1)</f>
        <v>9</v>
      </c>
      <c r="AY556" s="487" t="s">
        <v>337</v>
      </c>
      <c r="AZ556" s="487" t="str">
        <f>+VLOOKUP($AJ556,Data_Validation!$A:$E,5,0)</f>
        <v>Oui</v>
      </c>
    </row>
    <row r="557" spans="1:52" ht="15" hidden="1" customHeight="1">
      <c r="A557" s="706" t="s">
        <v>1147</v>
      </c>
      <c r="B557" s="706">
        <v>2025</v>
      </c>
      <c r="C557" s="706" t="s">
        <v>2317</v>
      </c>
      <c r="D557" s="706" t="s">
        <v>2318</v>
      </c>
      <c r="E557" s="706" t="s">
        <v>1148</v>
      </c>
      <c r="F557" s="706" t="s">
        <v>1148</v>
      </c>
      <c r="G557" s="706">
        <v>0</v>
      </c>
      <c r="H557" s="706">
        <v>0</v>
      </c>
      <c r="I557" s="706">
        <v>0</v>
      </c>
      <c r="J557" s="706">
        <v>66639.8</v>
      </c>
      <c r="K557" s="706">
        <v>66639.8</v>
      </c>
      <c r="L557" s="706">
        <v>66639.8</v>
      </c>
      <c r="M557" s="706">
        <v>66639.8</v>
      </c>
      <c r="N557" s="706">
        <v>131017.3</v>
      </c>
      <c r="O557" s="706">
        <v>131017.3</v>
      </c>
      <c r="P557" s="706">
        <v>207541.8</v>
      </c>
      <c r="Q557" s="706">
        <v>267636.8</v>
      </c>
      <c r="R557" s="706">
        <v>267636.8</v>
      </c>
      <c r="S557" s="706">
        <v>24330.62</v>
      </c>
      <c r="T557" s="706">
        <v>24330.62</v>
      </c>
      <c r="U557" s="706">
        <v>0</v>
      </c>
      <c r="V557" s="706">
        <v>0</v>
      </c>
      <c r="W557" s="706">
        <v>0</v>
      </c>
      <c r="X557" s="706">
        <v>0</v>
      </c>
      <c r="Y557" s="706">
        <v>1</v>
      </c>
      <c r="Z557" s="706">
        <v>1</v>
      </c>
      <c r="AA557" s="706">
        <v>1</v>
      </c>
      <c r="AB557" s="706">
        <v>1</v>
      </c>
      <c r="AC557" s="706">
        <v>2</v>
      </c>
      <c r="AD557" s="706">
        <v>2</v>
      </c>
      <c r="AE557" s="706">
        <v>3</v>
      </c>
      <c r="AF557" s="706">
        <v>4</v>
      </c>
      <c r="AG557" s="706">
        <v>4</v>
      </c>
      <c r="AH557" s="706">
        <v>0</v>
      </c>
      <c r="AI557" s="706">
        <v>0</v>
      </c>
      <c r="AJ557" s="905" t="str">
        <f t="shared" si="54"/>
        <v>G42800</v>
      </c>
      <c r="AK557" s="905" t="str">
        <f t="shared" si="55"/>
        <v>VENTES BUICK ENCLAVE</v>
      </c>
      <c r="AL557" s="905">
        <f>IFERROR(INDEX(G557:R557,1,MATCH(Parametres!$B$3,G$1:R$1,0)-1)*IF(OR(F557="L",F557="S",F557="I"),-1,1),"")</f>
        <v>-267636.8</v>
      </c>
      <c r="AM557" s="905">
        <f t="shared" si="50"/>
        <v>0</v>
      </c>
      <c r="AN557" s="905">
        <f>INDEX(G557:R557,1,MATCH(Parametres!$B$3,G$1:R$1,0))*IF(OR(F557="L",F557="S",F557="I"),-1,1)</f>
        <v>-267636.8</v>
      </c>
      <c r="AO557" s="487" t="str">
        <f>+VLOOKUP($AJ557,Data_Validation!$A:$D,1,0)</f>
        <v>G42800</v>
      </c>
      <c r="AP557" s="487" t="str">
        <f>+VLOOKUP($AJ557,Data_Validation!$A:$D,3,0)</f>
        <v>Véhicules neufs</v>
      </c>
      <c r="AQ557" s="487" t="str">
        <f>+VLOOKUP($AJ557,Data_Validation!$A:$D,4,0)</f>
        <v>Camions détail</v>
      </c>
      <c r="AR557" s="487" t="s">
        <v>299</v>
      </c>
      <c r="AS557" s="487" t="str">
        <f>+VLOOKUP($AJ557,Data_Validation!$A:$E,5,0)</f>
        <v>Oui</v>
      </c>
      <c r="AT557" s="904" t="str">
        <f t="shared" si="51"/>
        <v>G42800</v>
      </c>
      <c r="AU557" s="488" t="str">
        <f t="shared" si="52"/>
        <v>VENTES BUICK ENCLAVE</v>
      </c>
      <c r="AV557" s="899">
        <f>IFERROR(INDEX(V557:AG557,1,MATCH(Parametres!$B$3,V$1:AG$1,0)-1)*IF(OR(C557="L",C557="S",C557="I"),-1,1),"")</f>
        <v>4</v>
      </c>
      <c r="AW557" s="899">
        <f t="shared" si="53"/>
        <v>0</v>
      </c>
      <c r="AX557" s="899">
        <f>INDEX(V557:AG557,1,MATCH(Parametres!$B$3,V$1:AG$1,0))*IF(OR(C557="L",C557="S",C557="I"),-1,1)</f>
        <v>4</v>
      </c>
      <c r="AY557" s="487" t="s">
        <v>337</v>
      </c>
      <c r="AZ557" s="487" t="str">
        <f>+VLOOKUP($AJ557,Data_Validation!$A:$E,5,0)</f>
        <v>Oui</v>
      </c>
    </row>
    <row r="558" spans="1:52" ht="15" hidden="1" customHeight="1">
      <c r="A558" s="706" t="s">
        <v>1147</v>
      </c>
      <c r="B558" s="706">
        <v>2025</v>
      </c>
      <c r="C558" s="706" t="s">
        <v>2319</v>
      </c>
      <c r="D558" s="706" t="s">
        <v>2320</v>
      </c>
      <c r="E558" s="706" t="s">
        <v>1148</v>
      </c>
      <c r="F558" s="706" t="s">
        <v>1148</v>
      </c>
      <c r="G558" s="706">
        <v>41701.18</v>
      </c>
      <c r="H558" s="706">
        <v>41701.18</v>
      </c>
      <c r="I558" s="706">
        <v>115080.99</v>
      </c>
      <c r="J558" s="706">
        <v>115080.99</v>
      </c>
      <c r="K558" s="706">
        <v>147501.49</v>
      </c>
      <c r="L558" s="706">
        <v>147501.49</v>
      </c>
      <c r="M558" s="706">
        <v>183042.16</v>
      </c>
      <c r="N558" s="706">
        <v>220724.27</v>
      </c>
      <c r="O558" s="706">
        <v>220724.27</v>
      </c>
      <c r="P558" s="706">
        <v>220724.27</v>
      </c>
      <c r="Q558" s="706">
        <v>261162.27</v>
      </c>
      <c r="R558" s="706">
        <v>375154.45</v>
      </c>
      <c r="S558" s="706">
        <v>23742.02</v>
      </c>
      <c r="T558" s="706">
        <v>23742.02</v>
      </c>
      <c r="U558" s="706">
        <v>0</v>
      </c>
      <c r="V558" s="706">
        <v>1</v>
      </c>
      <c r="W558" s="706">
        <v>1</v>
      </c>
      <c r="X558" s="706">
        <v>3</v>
      </c>
      <c r="Y558" s="706">
        <v>3</v>
      </c>
      <c r="Z558" s="706">
        <v>4</v>
      </c>
      <c r="AA558" s="706">
        <v>4</v>
      </c>
      <c r="AB558" s="706">
        <v>5</v>
      </c>
      <c r="AC558" s="706">
        <v>6</v>
      </c>
      <c r="AD558" s="706">
        <v>6</v>
      </c>
      <c r="AE558" s="706">
        <v>6</v>
      </c>
      <c r="AF558" s="706">
        <v>7</v>
      </c>
      <c r="AG558" s="706">
        <v>10</v>
      </c>
      <c r="AH558" s="706">
        <v>1</v>
      </c>
      <c r="AI558" s="706">
        <v>1</v>
      </c>
      <c r="AJ558" s="905" t="str">
        <f t="shared" si="54"/>
        <v>G42804</v>
      </c>
      <c r="AK558" s="905" t="str">
        <f t="shared" si="55"/>
        <v>VENTE BUICK ENCORE</v>
      </c>
      <c r="AL558" s="905">
        <f>IFERROR(INDEX(G558:R558,1,MATCH(Parametres!$B$3,G$1:R$1,0)-1)*IF(OR(F558="L",F558="S",F558="I"),-1,1),"")</f>
        <v>-261162.27</v>
      </c>
      <c r="AM558" s="905">
        <f t="shared" si="50"/>
        <v>-113992.18000000002</v>
      </c>
      <c r="AN558" s="905">
        <f>INDEX(G558:R558,1,MATCH(Parametres!$B$3,G$1:R$1,0))*IF(OR(F558="L",F558="S",F558="I"),-1,1)</f>
        <v>-375154.45</v>
      </c>
      <c r="AO558" s="487" t="str">
        <f>+VLOOKUP($AJ558,Data_Validation!$A:$D,1,0)</f>
        <v>G42804</v>
      </c>
      <c r="AP558" s="487" t="str">
        <f>+VLOOKUP($AJ558,Data_Validation!$A:$D,3,0)</f>
        <v>Véhicules neufs</v>
      </c>
      <c r="AQ558" s="487" t="str">
        <f>+VLOOKUP($AJ558,Data_Validation!$A:$D,4,0)</f>
        <v>Camions détail</v>
      </c>
      <c r="AR558" s="487" t="s">
        <v>299</v>
      </c>
      <c r="AS558" s="487" t="str">
        <f>+VLOOKUP($AJ558,Data_Validation!$A:$E,5,0)</f>
        <v>Oui</v>
      </c>
      <c r="AT558" s="904" t="str">
        <f t="shared" si="51"/>
        <v>G42804</v>
      </c>
      <c r="AU558" s="488" t="str">
        <f t="shared" si="52"/>
        <v>VENTE BUICK ENCORE</v>
      </c>
      <c r="AV558" s="899">
        <f>IFERROR(INDEX(V558:AG558,1,MATCH(Parametres!$B$3,V$1:AG$1,0)-1)*IF(OR(C558="L",C558="S",C558="I"),-1,1),"")</f>
        <v>7</v>
      </c>
      <c r="AW558" s="899">
        <f t="shared" si="53"/>
        <v>3</v>
      </c>
      <c r="AX558" s="899">
        <f>INDEX(V558:AG558,1,MATCH(Parametres!$B$3,V$1:AG$1,0))*IF(OR(C558="L",C558="S",C558="I"),-1,1)</f>
        <v>10</v>
      </c>
      <c r="AY558" s="487" t="s">
        <v>337</v>
      </c>
      <c r="AZ558" s="487" t="str">
        <f>+VLOOKUP($AJ558,Data_Validation!$A:$E,5,0)</f>
        <v>Oui</v>
      </c>
    </row>
    <row r="559" spans="1:52" ht="15" customHeight="1">
      <c r="A559" s="706" t="s">
        <v>1147</v>
      </c>
      <c r="B559" s="706">
        <v>2025</v>
      </c>
      <c r="C559" s="706" t="s">
        <v>2321</v>
      </c>
      <c r="D559" s="706" t="s">
        <v>2322</v>
      </c>
      <c r="E559" s="706" t="s">
        <v>1148</v>
      </c>
      <c r="F559" s="706" t="s">
        <v>1148</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G42820</v>
      </c>
      <c r="AK559" s="905" t="str">
        <f t="shared" si="55"/>
        <v>VTES-TRAIL BALSER/EXT-LOC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G42820</v>
      </c>
      <c r="AU559" s="488" t="str">
        <f t="shared" si="52"/>
        <v>VTES-TRAIL BALSER/EXT-LOC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1147</v>
      </c>
      <c r="B560" s="706">
        <v>2025</v>
      </c>
      <c r="C560" s="706" t="s">
        <v>2323</v>
      </c>
      <c r="D560" s="706" t="s">
        <v>2324</v>
      </c>
      <c r="E560" s="706" t="s">
        <v>1148</v>
      </c>
      <c r="F560" s="706" t="s">
        <v>1148</v>
      </c>
      <c r="G560" s="706">
        <v>121394.52</v>
      </c>
      <c r="H560" s="706">
        <v>121394.52</v>
      </c>
      <c r="I560" s="706">
        <v>185474.52</v>
      </c>
      <c r="J560" s="706">
        <v>310424.52</v>
      </c>
      <c r="K560" s="706">
        <v>465524.99</v>
      </c>
      <c r="L560" s="706">
        <v>527071.99</v>
      </c>
      <c r="M560" s="706">
        <v>652127.14</v>
      </c>
      <c r="N560" s="706">
        <v>1013743.22</v>
      </c>
      <c r="O560" s="706">
        <v>1268871.22</v>
      </c>
      <c r="P560" s="706">
        <v>1562336.82</v>
      </c>
      <c r="Q560" s="706">
        <v>1799155.64</v>
      </c>
      <c r="R560" s="706">
        <v>1960283.23</v>
      </c>
      <c r="S560" s="706">
        <v>163559.6</v>
      </c>
      <c r="T560" s="706">
        <v>163559.6</v>
      </c>
      <c r="U560" s="706">
        <v>0</v>
      </c>
      <c r="V560" s="706">
        <v>4</v>
      </c>
      <c r="W560" s="706">
        <v>4</v>
      </c>
      <c r="X560" s="706">
        <v>6</v>
      </c>
      <c r="Y560" s="706">
        <v>10</v>
      </c>
      <c r="Z560" s="706">
        <v>15</v>
      </c>
      <c r="AA560" s="706">
        <v>17</v>
      </c>
      <c r="AB560" s="706">
        <v>21</v>
      </c>
      <c r="AC560" s="706">
        <v>33</v>
      </c>
      <c r="AD560" s="706">
        <v>41</v>
      </c>
      <c r="AE560" s="706">
        <v>50</v>
      </c>
      <c r="AF560" s="706">
        <v>57</v>
      </c>
      <c r="AG560" s="706">
        <v>62</v>
      </c>
      <c r="AH560" s="706">
        <v>5</v>
      </c>
      <c r="AI560" s="706">
        <v>5</v>
      </c>
      <c r="AJ560" s="905" t="str">
        <f t="shared" si="54"/>
        <v>G42850</v>
      </c>
      <c r="AK560" s="905" t="str">
        <f t="shared" si="55"/>
        <v>VENTES CHEVROLET TRAX</v>
      </c>
      <c r="AL560" s="905">
        <f>IFERROR(INDEX(G560:R560,1,MATCH(Parametres!$B$3,G$1:R$1,0)-1)*IF(OR(F560="L",F560="S",F560="I"),-1,1),"")</f>
        <v>-1799155.64</v>
      </c>
      <c r="AM560" s="905">
        <f t="shared" si="50"/>
        <v>-161127.59000000008</v>
      </c>
      <c r="AN560" s="905">
        <f>INDEX(G560:R560,1,MATCH(Parametres!$B$3,G$1:R$1,0))*IF(OR(F560="L",F560="S",F560="I"),-1,1)</f>
        <v>-1960283.23</v>
      </c>
      <c r="AO560" s="487" t="str">
        <f>+VLOOKUP($AJ560,Data_Validation!$A:$D,1,0)</f>
        <v>G42850</v>
      </c>
      <c r="AP560" s="487" t="str">
        <f>+VLOOKUP($AJ560,Data_Validation!$A:$D,3,0)</f>
        <v>Véhicules neufs</v>
      </c>
      <c r="AQ560" s="487" t="str">
        <f>+VLOOKUP($AJ560,Data_Validation!$A:$D,4,0)</f>
        <v>Camions détail</v>
      </c>
      <c r="AR560" s="487" t="s">
        <v>299</v>
      </c>
      <c r="AS560" s="487" t="str">
        <f>+VLOOKUP($AJ560,Data_Validation!$A:$E,5,0)</f>
        <v>Oui</v>
      </c>
      <c r="AT560" s="904" t="str">
        <f t="shared" si="51"/>
        <v>G42850</v>
      </c>
      <c r="AU560" s="488" t="str">
        <f t="shared" si="52"/>
        <v>VENTES CHEVROLET TRAX</v>
      </c>
      <c r="AV560" s="899">
        <f>IFERROR(INDEX(V560:AG560,1,MATCH(Parametres!$B$3,V$1:AG$1,0)-1)*IF(OR(C560="L",C560="S",C560="I"),-1,1),"")</f>
        <v>57</v>
      </c>
      <c r="AW560" s="899">
        <f t="shared" si="53"/>
        <v>5</v>
      </c>
      <c r="AX560" s="899">
        <f>INDEX(V560:AG560,1,MATCH(Parametres!$B$3,V$1:AG$1,0))*IF(OR(C560="L",C560="S",C560="I"),-1,1)</f>
        <v>62</v>
      </c>
      <c r="AY560" s="487" t="s">
        <v>337</v>
      </c>
      <c r="AZ560" s="487" t="str">
        <f>+VLOOKUP($AJ560,Data_Validation!$A:$E,5,0)</f>
        <v>Oui</v>
      </c>
    </row>
    <row r="561" spans="1:52" ht="15" hidden="1" customHeight="1">
      <c r="A561" s="706" t="s">
        <v>1147</v>
      </c>
      <c r="B561" s="706">
        <v>2025</v>
      </c>
      <c r="C561" s="706" t="s">
        <v>2325</v>
      </c>
      <c r="D561" s="706" t="s">
        <v>2326</v>
      </c>
      <c r="E561" s="706" t="s">
        <v>1148</v>
      </c>
      <c r="F561" s="706" t="s">
        <v>1148</v>
      </c>
      <c r="G561" s="706">
        <v>94299.5</v>
      </c>
      <c r="H561" s="706">
        <v>467506.34</v>
      </c>
      <c r="I561" s="706">
        <v>600482.34</v>
      </c>
      <c r="J561" s="706">
        <v>600482.34</v>
      </c>
      <c r="K561" s="706">
        <v>981031.34</v>
      </c>
      <c r="L561" s="706">
        <v>1245642.3400000001</v>
      </c>
      <c r="M561" s="706">
        <v>1434047.34</v>
      </c>
      <c r="N561" s="706">
        <v>1525610.34</v>
      </c>
      <c r="O561" s="706">
        <v>1607095.84</v>
      </c>
      <c r="P561" s="706">
        <v>1895564.85</v>
      </c>
      <c r="Q561" s="706">
        <v>2179624.35</v>
      </c>
      <c r="R561" s="706">
        <v>2279011.35</v>
      </c>
      <c r="S561" s="706">
        <v>198147.67</v>
      </c>
      <c r="T561" s="706">
        <v>198147.67</v>
      </c>
      <c r="U561" s="706">
        <v>0</v>
      </c>
      <c r="V561" s="706">
        <v>1</v>
      </c>
      <c r="W561" s="706">
        <v>5</v>
      </c>
      <c r="X561" s="706">
        <v>7</v>
      </c>
      <c r="Y561" s="706">
        <v>7</v>
      </c>
      <c r="Z561" s="706">
        <v>11</v>
      </c>
      <c r="AA561" s="706">
        <v>14</v>
      </c>
      <c r="AB561" s="706">
        <v>16</v>
      </c>
      <c r="AC561" s="706">
        <v>17</v>
      </c>
      <c r="AD561" s="706">
        <v>18</v>
      </c>
      <c r="AE561" s="706">
        <v>21</v>
      </c>
      <c r="AF561" s="706">
        <v>24</v>
      </c>
      <c r="AG561" s="706">
        <v>25</v>
      </c>
      <c r="AH561" s="706">
        <v>2</v>
      </c>
      <c r="AI561" s="706">
        <v>2</v>
      </c>
      <c r="AJ561" s="905" t="str">
        <f t="shared" si="54"/>
        <v>G42900</v>
      </c>
      <c r="AK561" s="905" t="str">
        <f t="shared" si="55"/>
        <v>VTES-TAHOE/SUBURBAN</v>
      </c>
      <c r="AL561" s="905">
        <f>IFERROR(INDEX(G561:R561,1,MATCH(Parametres!$B$3,G$1:R$1,0)-1)*IF(OR(F561="L",F561="S",F561="I"),-1,1),"")</f>
        <v>-2179624.35</v>
      </c>
      <c r="AM561" s="905">
        <f t="shared" si="50"/>
        <v>-99387</v>
      </c>
      <c r="AN561" s="905">
        <f>INDEX(G561:R561,1,MATCH(Parametres!$B$3,G$1:R$1,0))*IF(OR(F561="L",F561="S",F561="I"),-1,1)</f>
        <v>-2279011.35</v>
      </c>
      <c r="AO561" s="487" t="str">
        <f>+VLOOKUP($AJ561,Data_Validation!$A:$D,1,0)</f>
        <v>G42900</v>
      </c>
      <c r="AP561" s="487" t="str">
        <f>+VLOOKUP($AJ561,Data_Validation!$A:$D,3,0)</f>
        <v>Véhicules neufs</v>
      </c>
      <c r="AQ561" s="487" t="str">
        <f>+VLOOKUP($AJ561,Data_Validation!$A:$D,4,0)</f>
        <v>Camions détail</v>
      </c>
      <c r="AR561" s="487" t="s">
        <v>299</v>
      </c>
      <c r="AS561" s="487" t="str">
        <f>+VLOOKUP($AJ561,Data_Validation!$A:$E,5,0)</f>
        <v>Oui</v>
      </c>
      <c r="AT561" s="904" t="str">
        <f t="shared" si="51"/>
        <v>G42900</v>
      </c>
      <c r="AU561" s="488" t="str">
        <f t="shared" si="52"/>
        <v>VTES-TAHOE/SUBURBAN</v>
      </c>
      <c r="AV561" s="899">
        <f>IFERROR(INDEX(V561:AG561,1,MATCH(Parametres!$B$3,V$1:AG$1,0)-1)*IF(OR(C561="L",C561="S",C561="I"),-1,1),"")</f>
        <v>24</v>
      </c>
      <c r="AW561" s="899">
        <f t="shared" si="53"/>
        <v>1</v>
      </c>
      <c r="AX561" s="899">
        <f>INDEX(V561:AG561,1,MATCH(Parametres!$B$3,V$1:AG$1,0))*IF(OR(C561="L",C561="S",C561="I"),-1,1)</f>
        <v>25</v>
      </c>
      <c r="AY561" s="487" t="s">
        <v>337</v>
      </c>
      <c r="AZ561" s="487" t="str">
        <f>+VLOOKUP($AJ561,Data_Validation!$A:$E,5,0)</f>
        <v>Oui</v>
      </c>
    </row>
    <row r="562" spans="1:52" ht="15" hidden="1" customHeight="1">
      <c r="A562" s="706" t="s">
        <v>1147</v>
      </c>
      <c r="B562" s="706">
        <v>2025</v>
      </c>
      <c r="C562" s="706" t="s">
        <v>2327</v>
      </c>
      <c r="D562" s="706" t="s">
        <v>2328</v>
      </c>
      <c r="E562" s="706" t="s">
        <v>1148</v>
      </c>
      <c r="F562" s="706" t="s">
        <v>1148</v>
      </c>
      <c r="G562" s="706">
        <v>289698.73</v>
      </c>
      <c r="H562" s="706">
        <v>1154558.78</v>
      </c>
      <c r="I562" s="706">
        <v>1808982.4</v>
      </c>
      <c r="J562" s="706">
        <v>2695615.13</v>
      </c>
      <c r="K562" s="706">
        <v>3294811.35</v>
      </c>
      <c r="L562" s="706">
        <v>4326348.25</v>
      </c>
      <c r="M562" s="706">
        <v>5342557.46</v>
      </c>
      <c r="N562" s="706">
        <v>6693337.6100000003</v>
      </c>
      <c r="O562" s="706">
        <v>7209560.6500000004</v>
      </c>
      <c r="P562" s="706">
        <v>7582811.21</v>
      </c>
      <c r="Q562" s="706">
        <v>7822515.5800000001</v>
      </c>
      <c r="R562" s="706">
        <v>8556411.9399999995</v>
      </c>
      <c r="S562" s="706">
        <v>711137.78</v>
      </c>
      <c r="T562" s="706">
        <v>711137.78</v>
      </c>
      <c r="U562" s="706">
        <v>0</v>
      </c>
      <c r="V562" s="706">
        <v>4</v>
      </c>
      <c r="W562" s="706">
        <v>16</v>
      </c>
      <c r="X562" s="706">
        <v>25</v>
      </c>
      <c r="Y562" s="706">
        <v>37</v>
      </c>
      <c r="Z562" s="706">
        <v>45</v>
      </c>
      <c r="AA562" s="706">
        <v>59</v>
      </c>
      <c r="AB562" s="706">
        <v>74</v>
      </c>
      <c r="AC562" s="706">
        <v>94</v>
      </c>
      <c r="AD562" s="706">
        <v>101</v>
      </c>
      <c r="AE562" s="706">
        <v>106</v>
      </c>
      <c r="AF562" s="706">
        <v>109</v>
      </c>
      <c r="AG562" s="706">
        <v>119</v>
      </c>
      <c r="AH562" s="706">
        <v>10</v>
      </c>
      <c r="AI562" s="706">
        <v>10</v>
      </c>
      <c r="AJ562" s="905" t="str">
        <f t="shared" si="54"/>
        <v>G43000</v>
      </c>
      <c r="AK562" s="905" t="str">
        <f t="shared" si="55"/>
        <v>VTES-CL 1500 SILVERADO</v>
      </c>
      <c r="AL562" s="905">
        <f>IFERROR(INDEX(G562:R562,1,MATCH(Parametres!$B$3,G$1:R$1,0)-1)*IF(OR(F562="L",F562="S",F562="I"),-1,1),"")</f>
        <v>-7822515.5800000001</v>
      </c>
      <c r="AM562" s="905">
        <f t="shared" si="50"/>
        <v>-733896.3599999994</v>
      </c>
      <c r="AN562" s="905">
        <f>INDEX(G562:R562,1,MATCH(Parametres!$B$3,G$1:R$1,0))*IF(OR(F562="L",F562="S",F562="I"),-1,1)</f>
        <v>-8556411.9399999995</v>
      </c>
      <c r="AO562" s="487" t="str">
        <f>+VLOOKUP($AJ562,Data_Validation!$A:$D,1,0)</f>
        <v>G43000</v>
      </c>
      <c r="AP562" s="487" t="str">
        <f>+VLOOKUP($AJ562,Data_Validation!$A:$D,3,0)</f>
        <v>Véhicules neufs</v>
      </c>
      <c r="AQ562" s="487" t="str">
        <f>+VLOOKUP($AJ562,Data_Validation!$A:$D,4,0)</f>
        <v>Camions détail</v>
      </c>
      <c r="AR562" s="487" t="s">
        <v>299</v>
      </c>
      <c r="AS562" s="487" t="str">
        <f>+VLOOKUP($AJ562,Data_Validation!$A:$E,5,0)</f>
        <v>Oui</v>
      </c>
      <c r="AT562" s="904" t="str">
        <f t="shared" si="51"/>
        <v>G43000</v>
      </c>
      <c r="AU562" s="488" t="str">
        <f t="shared" si="52"/>
        <v>VTES-CL 1500 SILVERADO</v>
      </c>
      <c r="AV562" s="899">
        <f>IFERROR(INDEX(V562:AG562,1,MATCH(Parametres!$B$3,V$1:AG$1,0)-1)*IF(OR(C562="L",C562="S",C562="I"),-1,1),"")</f>
        <v>109</v>
      </c>
      <c r="AW562" s="899">
        <f t="shared" si="53"/>
        <v>10</v>
      </c>
      <c r="AX562" s="899">
        <f>INDEX(V562:AG562,1,MATCH(Parametres!$B$3,V$1:AG$1,0))*IF(OR(C562="L",C562="S",C562="I"),-1,1)</f>
        <v>119</v>
      </c>
      <c r="AY562" s="487" t="s">
        <v>337</v>
      </c>
      <c r="AZ562" s="487" t="str">
        <f>+VLOOKUP($AJ562,Data_Validation!$A:$E,5,0)</f>
        <v>Oui</v>
      </c>
    </row>
    <row r="563" spans="1:52" ht="15" hidden="1" customHeight="1">
      <c r="A563" s="706" t="s">
        <v>1147</v>
      </c>
      <c r="B563" s="706">
        <v>2025</v>
      </c>
      <c r="C563" s="706" t="s">
        <v>2329</v>
      </c>
      <c r="D563" s="706" t="s">
        <v>2330</v>
      </c>
      <c r="E563" s="706" t="s">
        <v>1148</v>
      </c>
      <c r="F563" s="706" t="s">
        <v>1148</v>
      </c>
      <c r="G563" s="706">
        <v>115225</v>
      </c>
      <c r="H563" s="706">
        <v>115225</v>
      </c>
      <c r="I563" s="706">
        <v>115225</v>
      </c>
      <c r="J563" s="706">
        <v>202751.01</v>
      </c>
      <c r="K563" s="706">
        <v>314062.01</v>
      </c>
      <c r="L563" s="706">
        <v>314062.01</v>
      </c>
      <c r="M563" s="706">
        <v>314062.01</v>
      </c>
      <c r="N563" s="706">
        <v>314062.01</v>
      </c>
      <c r="O563" s="706">
        <v>532509.01</v>
      </c>
      <c r="P563" s="706">
        <v>758751.01</v>
      </c>
      <c r="Q563" s="706">
        <v>869145.01</v>
      </c>
      <c r="R563" s="706">
        <v>869145.01</v>
      </c>
      <c r="S563" s="706">
        <v>79013.179999999993</v>
      </c>
      <c r="T563" s="706">
        <v>79013.179999999993</v>
      </c>
      <c r="U563" s="706">
        <v>0</v>
      </c>
      <c r="V563" s="706">
        <v>1</v>
      </c>
      <c r="W563" s="706">
        <v>1</v>
      </c>
      <c r="X563" s="706">
        <v>1</v>
      </c>
      <c r="Y563" s="706">
        <v>2</v>
      </c>
      <c r="Z563" s="706">
        <v>3</v>
      </c>
      <c r="AA563" s="706">
        <v>3</v>
      </c>
      <c r="AB563" s="706">
        <v>3</v>
      </c>
      <c r="AC563" s="706">
        <v>3</v>
      </c>
      <c r="AD563" s="706">
        <v>5</v>
      </c>
      <c r="AE563" s="706">
        <v>7</v>
      </c>
      <c r="AF563" s="706">
        <v>8</v>
      </c>
      <c r="AG563" s="706">
        <v>8</v>
      </c>
      <c r="AH563" s="706">
        <v>1</v>
      </c>
      <c r="AI563" s="706">
        <v>1</v>
      </c>
      <c r="AJ563" s="905" t="str">
        <f t="shared" si="54"/>
        <v>G43001</v>
      </c>
      <c r="AK563" s="905" t="str">
        <f t="shared" si="55"/>
        <v>VTES - SILVERADO EV</v>
      </c>
      <c r="AL563" s="905">
        <f>IFERROR(INDEX(G563:R563,1,MATCH(Parametres!$B$3,G$1:R$1,0)-1)*IF(OR(F563="L",F563="S",F563="I"),-1,1),"")</f>
        <v>-869145.01</v>
      </c>
      <c r="AM563" s="905">
        <f t="shared" si="50"/>
        <v>0</v>
      </c>
      <c r="AN563" s="905">
        <f>INDEX(G563:R563,1,MATCH(Parametres!$B$3,G$1:R$1,0))*IF(OR(F563="L",F563="S",F563="I"),-1,1)</f>
        <v>-869145.01</v>
      </c>
      <c r="AO563" s="487" t="str">
        <f>+VLOOKUP($AJ563,Data_Validation!$A:$D,1,0)</f>
        <v>G43001</v>
      </c>
      <c r="AP563" s="487" t="str">
        <f>+VLOOKUP($AJ563,Data_Validation!$A:$D,3,0)</f>
        <v>Véhicules neufs</v>
      </c>
      <c r="AQ563" s="487" t="str">
        <f>+VLOOKUP($AJ563,Data_Validation!$A:$D,4,0)</f>
        <v>Camions electriques</v>
      </c>
      <c r="AR563" s="487" t="s">
        <v>299</v>
      </c>
      <c r="AS563" s="487" t="str">
        <f>+VLOOKUP($AJ563,Data_Validation!$A:$E,5,0)</f>
        <v>Oui</v>
      </c>
      <c r="AT563" s="904" t="str">
        <f t="shared" si="51"/>
        <v>G43001</v>
      </c>
      <c r="AU563" s="488" t="str">
        <f t="shared" si="52"/>
        <v>VTES - SILVERADO EV</v>
      </c>
      <c r="AV563" s="899">
        <f>IFERROR(INDEX(V563:AG563,1,MATCH(Parametres!$B$3,V$1:AG$1,0)-1)*IF(OR(C563="L",C563="S",C563="I"),-1,1),"")</f>
        <v>8</v>
      </c>
      <c r="AW563" s="899">
        <f t="shared" si="53"/>
        <v>0</v>
      </c>
      <c r="AX563" s="899">
        <f>INDEX(V563:AG563,1,MATCH(Parametres!$B$3,V$1:AG$1,0))*IF(OR(C563="L",C563="S",C563="I"),-1,1)</f>
        <v>8</v>
      </c>
      <c r="AY563" s="487" t="s">
        <v>337</v>
      </c>
      <c r="AZ563" s="487" t="str">
        <f>+VLOOKUP($AJ563,Data_Validation!$A:$E,5,0)</f>
        <v>Oui</v>
      </c>
    </row>
    <row r="564" spans="1:52" ht="15" hidden="1" customHeight="1">
      <c r="A564" s="706" t="s">
        <v>1147</v>
      </c>
      <c r="B564" s="706">
        <v>2025</v>
      </c>
      <c r="C564" s="706" t="s">
        <v>2331</v>
      </c>
      <c r="D564" s="706" t="s">
        <v>2332</v>
      </c>
      <c r="E564" s="706" t="s">
        <v>1148</v>
      </c>
      <c r="F564" s="706" t="s">
        <v>1148</v>
      </c>
      <c r="G564" s="706">
        <v>0</v>
      </c>
      <c r="H564" s="706">
        <v>284745.53999999998</v>
      </c>
      <c r="I564" s="706">
        <v>710539.54</v>
      </c>
      <c r="J564" s="706">
        <v>1023599.54</v>
      </c>
      <c r="K564" s="706">
        <v>1023599.54</v>
      </c>
      <c r="L564" s="706">
        <v>1133321.04</v>
      </c>
      <c r="M564" s="706">
        <v>1336388.04</v>
      </c>
      <c r="N564" s="706">
        <v>1653380.98</v>
      </c>
      <c r="O564" s="706">
        <v>1876617.82</v>
      </c>
      <c r="P564" s="706">
        <v>2289980.92</v>
      </c>
      <c r="Q564" s="706">
        <v>2412383.92</v>
      </c>
      <c r="R564" s="706">
        <v>2670354.12</v>
      </c>
      <c r="S564" s="706">
        <v>219307.63</v>
      </c>
      <c r="T564" s="706">
        <v>219307.63</v>
      </c>
      <c r="U564" s="706">
        <v>0</v>
      </c>
      <c r="V564" s="706">
        <v>0</v>
      </c>
      <c r="W564" s="706">
        <v>3</v>
      </c>
      <c r="X564" s="706">
        <v>7</v>
      </c>
      <c r="Y564" s="706">
        <v>10</v>
      </c>
      <c r="Z564" s="706">
        <v>10</v>
      </c>
      <c r="AA564" s="706">
        <v>11</v>
      </c>
      <c r="AB564" s="706">
        <v>13</v>
      </c>
      <c r="AC564" s="706">
        <v>16</v>
      </c>
      <c r="AD564" s="706">
        <v>18</v>
      </c>
      <c r="AE564" s="706">
        <v>22</v>
      </c>
      <c r="AF564" s="706">
        <v>23</v>
      </c>
      <c r="AG564" s="706">
        <v>25</v>
      </c>
      <c r="AH564" s="706">
        <v>2</v>
      </c>
      <c r="AI564" s="706">
        <v>2</v>
      </c>
      <c r="AJ564" s="905" t="str">
        <f t="shared" si="54"/>
        <v>G43002</v>
      </c>
      <c r="AK564" s="905" t="str">
        <f t="shared" si="55"/>
        <v>VENTES - YUKON</v>
      </c>
      <c r="AL564" s="905">
        <f>IFERROR(INDEX(G564:R564,1,MATCH(Parametres!$B$3,G$1:R$1,0)-1)*IF(OR(F564="L",F564="S",F564="I"),-1,1),"")</f>
        <v>-2412383.92</v>
      </c>
      <c r="AM564" s="905">
        <f t="shared" si="50"/>
        <v>-257970.20000000019</v>
      </c>
      <c r="AN564" s="905">
        <f>INDEX(G564:R564,1,MATCH(Parametres!$B$3,G$1:R$1,0))*IF(OR(F564="L",F564="S",F564="I"),-1,1)</f>
        <v>-2670354.12</v>
      </c>
      <c r="AO564" s="487" t="str">
        <f>+VLOOKUP($AJ564,Data_Validation!$A:$D,1,0)</f>
        <v>G43002</v>
      </c>
      <c r="AP564" s="487" t="str">
        <f>+VLOOKUP($AJ564,Data_Validation!$A:$D,3,0)</f>
        <v>Véhicules neufs</v>
      </c>
      <c r="AQ564" s="487" t="str">
        <f>+VLOOKUP($AJ564,Data_Validation!$A:$D,4,0)</f>
        <v>Camions détail</v>
      </c>
      <c r="AR564" s="487" t="s">
        <v>299</v>
      </c>
      <c r="AS564" s="487" t="str">
        <f>+VLOOKUP($AJ564,Data_Validation!$A:$E,5,0)</f>
        <v>Oui</v>
      </c>
      <c r="AT564" s="904" t="str">
        <f t="shared" si="51"/>
        <v>G43002</v>
      </c>
      <c r="AU564" s="488" t="str">
        <f t="shared" si="52"/>
        <v>VENTES - YUKON</v>
      </c>
      <c r="AV564" s="899">
        <f>IFERROR(INDEX(V564:AG564,1,MATCH(Parametres!$B$3,V$1:AG$1,0)-1)*IF(OR(C564="L",C564="S",C564="I"),-1,1),"")</f>
        <v>23</v>
      </c>
      <c r="AW564" s="899">
        <f t="shared" si="53"/>
        <v>2</v>
      </c>
      <c r="AX564" s="899">
        <f>INDEX(V564:AG564,1,MATCH(Parametres!$B$3,V$1:AG$1,0))*IF(OR(C564="L",C564="S",C564="I"),-1,1)</f>
        <v>25</v>
      </c>
      <c r="AY564" s="487" t="s">
        <v>337</v>
      </c>
      <c r="AZ564" s="487" t="str">
        <f>+VLOOKUP($AJ564,Data_Validation!$A:$E,5,0)</f>
        <v>Oui</v>
      </c>
    </row>
    <row r="565" spans="1:52" ht="15" customHeight="1">
      <c r="A565" s="706" t="s">
        <v>1147</v>
      </c>
      <c r="B565" s="706">
        <v>2025</v>
      </c>
      <c r="C565" s="706" t="s">
        <v>2333</v>
      </c>
      <c r="D565" s="706" t="s">
        <v>2334</v>
      </c>
      <c r="E565" s="706" t="s">
        <v>1148</v>
      </c>
      <c r="F565" s="706" t="s">
        <v>1148</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G43020</v>
      </c>
      <c r="AK565" s="905" t="str">
        <f t="shared" si="55"/>
        <v>CL 1500 SILVERADO    -LOC</v>
      </c>
      <c r="AL565" s="905">
        <f>IFERROR(INDEX(G565:R565,1,MATCH(Parametres!$B$3,G$1:R$1,0)-1)*IF(OR(F565="L",F565="S",F565="I"),-1,1),"")</f>
        <v>0</v>
      </c>
      <c r="AM565" s="905">
        <f t="shared" si="50"/>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t="str">
        <f t="shared" si="51"/>
        <v>G43020</v>
      </c>
      <c r="AU565" s="488" t="str">
        <f t="shared" si="52"/>
        <v>CL 1500 SILVERADO    -LOC</v>
      </c>
      <c r="AV565" s="899">
        <f>IFERROR(INDEX(V565:AG565,1,MATCH(Parametres!$B$3,V$1:AG$1,0)-1)*IF(OR(C565="L",C565="S",C565="I"),-1,1),"")</f>
        <v>0</v>
      </c>
      <c r="AW565" s="899">
        <f t="shared" si="53"/>
        <v>0</v>
      </c>
      <c r="AX565" s="899">
        <f>INDEX(V565:AG565,1,MATCH(Parametres!$B$3,V$1:AG$1,0))*IF(OR(C565="L",C565="S",C565="I"),-1,1)</f>
        <v>0</v>
      </c>
      <c r="AY565" s="487" t="s">
        <v>337</v>
      </c>
      <c r="AZ565" s="487" t="e">
        <f>+VLOOKUP($AJ565,Data_Validation!$A:$E,5,0)</f>
        <v>#N/A</v>
      </c>
    </row>
    <row r="566" spans="1:52" ht="15" hidden="1" customHeight="1">
      <c r="A566" s="706" t="s">
        <v>1147</v>
      </c>
      <c r="B566" s="706">
        <v>2025</v>
      </c>
      <c r="C566" s="706" t="s">
        <v>2335</v>
      </c>
      <c r="D566" s="706" t="s">
        <v>2336</v>
      </c>
      <c r="E566" s="706" t="s">
        <v>1148</v>
      </c>
      <c r="F566" s="706" t="s">
        <v>1148</v>
      </c>
      <c r="G566" s="706">
        <v>310608.32</v>
      </c>
      <c r="H566" s="706">
        <v>616920.73</v>
      </c>
      <c r="I566" s="706">
        <v>937052.23</v>
      </c>
      <c r="J566" s="706">
        <v>1206106.01</v>
      </c>
      <c r="K566" s="706">
        <v>1560491.01</v>
      </c>
      <c r="L566" s="706">
        <v>1665443.21</v>
      </c>
      <c r="M566" s="706">
        <v>2335917.6800000002</v>
      </c>
      <c r="N566" s="706">
        <v>2824032.92</v>
      </c>
      <c r="O566" s="706">
        <v>2824032.92</v>
      </c>
      <c r="P566" s="706">
        <v>2921771.92</v>
      </c>
      <c r="Q566" s="706">
        <v>3221960.74</v>
      </c>
      <c r="R566" s="706">
        <v>3418838.53</v>
      </c>
      <c r="S566" s="706">
        <v>292905.52</v>
      </c>
      <c r="T566" s="706">
        <v>292905.52</v>
      </c>
      <c r="U566" s="706">
        <v>0</v>
      </c>
      <c r="V566" s="706">
        <v>3</v>
      </c>
      <c r="W566" s="706">
        <v>6</v>
      </c>
      <c r="X566" s="706">
        <v>9</v>
      </c>
      <c r="Y566" s="706">
        <v>12</v>
      </c>
      <c r="Z566" s="706">
        <v>16</v>
      </c>
      <c r="AA566" s="706">
        <v>17</v>
      </c>
      <c r="AB566" s="706">
        <v>24</v>
      </c>
      <c r="AC566" s="706">
        <v>29</v>
      </c>
      <c r="AD566" s="706">
        <v>29</v>
      </c>
      <c r="AE566" s="706">
        <v>30</v>
      </c>
      <c r="AF566" s="706">
        <v>33</v>
      </c>
      <c r="AG566" s="706">
        <v>35</v>
      </c>
      <c r="AH566" s="706">
        <v>3</v>
      </c>
      <c r="AI566" s="706">
        <v>3</v>
      </c>
      <c r="AJ566" s="905" t="str">
        <f t="shared" si="54"/>
        <v>G43100</v>
      </c>
      <c r="AK566" s="905" t="str">
        <f t="shared" si="55"/>
        <v>VTES-CL 2500 SILVERADO</v>
      </c>
      <c r="AL566" s="905">
        <f>IFERROR(INDEX(G566:R566,1,MATCH(Parametres!$B$3,G$1:R$1,0)-1)*IF(OR(F566="L",F566="S",F566="I"),-1,1),"")</f>
        <v>-3221960.74</v>
      </c>
      <c r="AM566" s="905">
        <f t="shared" si="50"/>
        <v>-196877.78999999957</v>
      </c>
      <c r="AN566" s="905">
        <f>INDEX(G566:R566,1,MATCH(Parametres!$B$3,G$1:R$1,0))*IF(OR(F566="L",F566="S",F566="I"),-1,1)</f>
        <v>-3418838.53</v>
      </c>
      <c r="AO566" s="487" t="str">
        <f>+VLOOKUP($AJ566,Data_Validation!$A:$D,1,0)</f>
        <v>G43100</v>
      </c>
      <c r="AP566" s="487" t="str">
        <f>+VLOOKUP($AJ566,Data_Validation!$A:$D,3,0)</f>
        <v>Véhicules neufs</v>
      </c>
      <c r="AQ566" s="487" t="str">
        <f>+VLOOKUP($AJ566,Data_Validation!$A:$D,4,0)</f>
        <v>Camions détail</v>
      </c>
      <c r="AR566" s="487" t="s">
        <v>299</v>
      </c>
      <c r="AS566" s="487" t="str">
        <f>+VLOOKUP($AJ566,Data_Validation!$A:$E,5,0)</f>
        <v>Oui</v>
      </c>
      <c r="AT566" s="904" t="str">
        <f t="shared" si="51"/>
        <v>G43100</v>
      </c>
      <c r="AU566" s="488" t="str">
        <f t="shared" si="52"/>
        <v>VTES-CL 2500 SILVERADO</v>
      </c>
      <c r="AV566" s="899">
        <f>IFERROR(INDEX(V566:AG566,1,MATCH(Parametres!$B$3,V$1:AG$1,0)-1)*IF(OR(C566="L",C566="S",C566="I"),-1,1),"")</f>
        <v>33</v>
      </c>
      <c r="AW566" s="899">
        <f t="shared" si="53"/>
        <v>2</v>
      </c>
      <c r="AX566" s="899">
        <f>INDEX(V566:AG566,1,MATCH(Parametres!$B$3,V$1:AG$1,0))*IF(OR(C566="L",C566="S",C566="I"),-1,1)</f>
        <v>35</v>
      </c>
      <c r="AY566" s="487" t="s">
        <v>337</v>
      </c>
      <c r="AZ566" s="487" t="str">
        <f>+VLOOKUP($AJ566,Data_Validation!$A:$E,5,0)</f>
        <v>Oui</v>
      </c>
    </row>
    <row r="567" spans="1:52" ht="15" hidden="1" customHeight="1">
      <c r="A567" s="706" t="s">
        <v>1147</v>
      </c>
      <c r="B567" s="706">
        <v>2025</v>
      </c>
      <c r="C567" s="706" t="s">
        <v>2337</v>
      </c>
      <c r="D567" s="706" t="s">
        <v>2338</v>
      </c>
      <c r="E567" s="706" t="s">
        <v>1148</v>
      </c>
      <c r="F567" s="706" t="s">
        <v>1148</v>
      </c>
      <c r="G567" s="706">
        <v>634804.61</v>
      </c>
      <c r="H567" s="706">
        <v>1394615.75</v>
      </c>
      <c r="I567" s="706">
        <v>2212545.91</v>
      </c>
      <c r="J567" s="706">
        <v>3214189.16</v>
      </c>
      <c r="K567" s="706">
        <v>3641867.79</v>
      </c>
      <c r="L567" s="706">
        <v>4440369.91</v>
      </c>
      <c r="M567" s="706">
        <v>5193500.75</v>
      </c>
      <c r="N567" s="706">
        <v>5798727.6600000001</v>
      </c>
      <c r="O567" s="706">
        <v>6136788.9900000002</v>
      </c>
      <c r="P567" s="706">
        <v>6799026.8799999999</v>
      </c>
      <c r="Q567" s="706">
        <v>7147079.04</v>
      </c>
      <c r="R567" s="706">
        <v>7407591.7599999998</v>
      </c>
      <c r="S567" s="706">
        <v>649734.46</v>
      </c>
      <c r="T567" s="706">
        <v>649734.46</v>
      </c>
      <c r="U567" s="706">
        <v>0</v>
      </c>
      <c r="V567" s="706">
        <v>9</v>
      </c>
      <c r="W567" s="706">
        <v>19</v>
      </c>
      <c r="X567" s="706">
        <v>29</v>
      </c>
      <c r="Y567" s="706">
        <v>42</v>
      </c>
      <c r="Z567" s="706">
        <v>48</v>
      </c>
      <c r="AA567" s="706">
        <v>58</v>
      </c>
      <c r="AB567" s="706">
        <v>68</v>
      </c>
      <c r="AC567" s="706">
        <v>76</v>
      </c>
      <c r="AD567" s="706">
        <v>80</v>
      </c>
      <c r="AE567" s="706">
        <v>88</v>
      </c>
      <c r="AF567" s="706">
        <v>92</v>
      </c>
      <c r="AG567" s="706">
        <v>95</v>
      </c>
      <c r="AH567" s="706">
        <v>8</v>
      </c>
      <c r="AI567" s="706">
        <v>8</v>
      </c>
      <c r="AJ567" s="905" t="str">
        <f t="shared" si="54"/>
        <v>G43102</v>
      </c>
      <c r="AK567" s="905" t="str">
        <f t="shared" si="55"/>
        <v>VENTE CL 1500 SIERRA</v>
      </c>
      <c r="AL567" s="905">
        <f>IFERROR(INDEX(G567:R567,1,MATCH(Parametres!$B$3,G$1:R$1,0)-1)*IF(OR(F567="L",F567="S",F567="I"),-1,1),"")</f>
        <v>-7147079.04</v>
      </c>
      <c r="AM567" s="905">
        <f t="shared" si="50"/>
        <v>-260512.71999999974</v>
      </c>
      <c r="AN567" s="905">
        <f>INDEX(G567:R567,1,MATCH(Parametres!$B$3,G$1:R$1,0))*IF(OR(F567="L",F567="S",F567="I"),-1,1)</f>
        <v>-7407591.7599999998</v>
      </c>
      <c r="AO567" s="487" t="str">
        <f>+VLOOKUP($AJ567,Data_Validation!$A:$D,1,0)</f>
        <v>G43102</v>
      </c>
      <c r="AP567" s="487" t="str">
        <f>+VLOOKUP($AJ567,Data_Validation!$A:$D,3,0)</f>
        <v>Véhicules neufs</v>
      </c>
      <c r="AQ567" s="487" t="str">
        <f>+VLOOKUP($AJ567,Data_Validation!$A:$D,4,0)</f>
        <v>Camions détail</v>
      </c>
      <c r="AR567" s="487" t="s">
        <v>299</v>
      </c>
      <c r="AS567" s="487" t="str">
        <f>+VLOOKUP($AJ567,Data_Validation!$A:$E,5,0)</f>
        <v>Oui</v>
      </c>
      <c r="AT567" s="904" t="str">
        <f t="shared" si="51"/>
        <v>G43102</v>
      </c>
      <c r="AU567" s="488" t="str">
        <f t="shared" si="52"/>
        <v>VENTE CL 1500 SIERRA</v>
      </c>
      <c r="AV567" s="899">
        <f>IFERROR(INDEX(V567:AG567,1,MATCH(Parametres!$B$3,V$1:AG$1,0)-1)*IF(OR(C567="L",C567="S",C567="I"),-1,1),"")</f>
        <v>92</v>
      </c>
      <c r="AW567" s="899">
        <f t="shared" si="53"/>
        <v>3</v>
      </c>
      <c r="AX567" s="899">
        <f>INDEX(V567:AG567,1,MATCH(Parametres!$B$3,V$1:AG$1,0))*IF(OR(C567="L",C567="S",C567="I"),-1,1)</f>
        <v>95</v>
      </c>
      <c r="AY567" s="487" t="s">
        <v>337</v>
      </c>
      <c r="AZ567" s="487" t="str">
        <f>+VLOOKUP($AJ567,Data_Validation!$A:$E,5,0)</f>
        <v>Oui</v>
      </c>
    </row>
    <row r="568" spans="1:52" ht="15" hidden="1" customHeight="1">
      <c r="A568" s="706" t="s">
        <v>1147</v>
      </c>
      <c r="B568" s="706">
        <v>2025</v>
      </c>
      <c r="C568" s="706" t="s">
        <v>2339</v>
      </c>
      <c r="D568" s="706" t="s">
        <v>2340</v>
      </c>
      <c r="E568" s="706" t="s">
        <v>1148</v>
      </c>
      <c r="F568" s="706" t="s">
        <v>1148</v>
      </c>
      <c r="G568" s="706">
        <v>124484.19</v>
      </c>
      <c r="H568" s="706">
        <v>124484.19</v>
      </c>
      <c r="I568" s="706">
        <v>245850.81</v>
      </c>
      <c r="J568" s="706">
        <v>360003.81</v>
      </c>
      <c r="K568" s="706">
        <v>589814.81000000006</v>
      </c>
      <c r="L568" s="706">
        <v>811527.81</v>
      </c>
      <c r="M568" s="706">
        <v>1130739.81</v>
      </c>
      <c r="N568" s="706">
        <v>1130739.81</v>
      </c>
      <c r="O568" s="706">
        <v>1230858.81</v>
      </c>
      <c r="P568" s="706">
        <v>1342036.31</v>
      </c>
      <c r="Q568" s="706">
        <v>1342036.31</v>
      </c>
      <c r="R568" s="706">
        <v>1342036.31</v>
      </c>
      <c r="S568" s="706">
        <v>122003.3</v>
      </c>
      <c r="T568" s="706">
        <v>122003.3</v>
      </c>
      <c r="U568" s="706">
        <v>0</v>
      </c>
      <c r="V568" s="706">
        <v>1</v>
      </c>
      <c r="W568" s="706">
        <v>1</v>
      </c>
      <c r="X568" s="706">
        <v>2</v>
      </c>
      <c r="Y568" s="706">
        <v>3</v>
      </c>
      <c r="Z568" s="706">
        <v>5</v>
      </c>
      <c r="AA568" s="706">
        <v>7</v>
      </c>
      <c r="AB568" s="706">
        <v>10</v>
      </c>
      <c r="AC568" s="706">
        <v>10</v>
      </c>
      <c r="AD568" s="706">
        <v>11</v>
      </c>
      <c r="AE568" s="706">
        <v>12</v>
      </c>
      <c r="AF568" s="706">
        <v>12</v>
      </c>
      <c r="AG568" s="706">
        <v>12</v>
      </c>
      <c r="AH568" s="706">
        <v>1</v>
      </c>
      <c r="AI568" s="706">
        <v>1</v>
      </c>
      <c r="AJ568" s="905" t="str">
        <f t="shared" si="54"/>
        <v>G43103</v>
      </c>
      <c r="AK568" s="905" t="str">
        <f t="shared" si="55"/>
        <v>VENTE - SIERRA EV</v>
      </c>
      <c r="AL568" s="905">
        <f>IFERROR(INDEX(G568:R568,1,MATCH(Parametres!$B$3,G$1:R$1,0)-1)*IF(OR(F568="L",F568="S",F568="I"),-1,1),"")</f>
        <v>-1342036.31</v>
      </c>
      <c r="AM568" s="905">
        <f t="shared" si="50"/>
        <v>0</v>
      </c>
      <c r="AN568" s="905">
        <f>INDEX(G568:R568,1,MATCH(Parametres!$B$3,G$1:R$1,0))*IF(OR(F568="L",F568="S",F568="I"),-1,1)</f>
        <v>-1342036.31</v>
      </c>
      <c r="AO568" s="487" t="str">
        <f>+VLOOKUP($AJ568,Data_Validation!$A:$D,1,0)</f>
        <v>G43103</v>
      </c>
      <c r="AP568" s="487" t="str">
        <f>+VLOOKUP($AJ568,Data_Validation!$A:$D,3,0)</f>
        <v>Véhicules neufs</v>
      </c>
      <c r="AQ568" s="487" t="str">
        <f>+VLOOKUP($AJ568,Data_Validation!$A:$D,4,0)</f>
        <v>Camions electriques</v>
      </c>
      <c r="AR568" s="487" t="s">
        <v>299</v>
      </c>
      <c r="AS568" s="487" t="str">
        <f>+VLOOKUP($AJ568,Data_Validation!$A:$E,5,0)</f>
        <v>Oui</v>
      </c>
      <c r="AT568" s="904" t="str">
        <f t="shared" si="51"/>
        <v>G43103</v>
      </c>
      <c r="AU568" s="488" t="str">
        <f t="shared" si="52"/>
        <v>VENTE - SIERRA EV</v>
      </c>
      <c r="AV568" s="899">
        <f>IFERROR(INDEX(V568:AG568,1,MATCH(Parametres!$B$3,V$1:AG$1,0)-1)*IF(OR(C568="L",C568="S",C568="I"),-1,1),"")</f>
        <v>12</v>
      </c>
      <c r="AW568" s="899">
        <f t="shared" si="53"/>
        <v>0</v>
      </c>
      <c r="AX568" s="899">
        <f>INDEX(V568:AG568,1,MATCH(Parametres!$B$3,V$1:AG$1,0))*IF(OR(C568="L",C568="S",C568="I"),-1,1)</f>
        <v>12</v>
      </c>
      <c r="AY568" s="487" t="s">
        <v>337</v>
      </c>
      <c r="AZ568" s="487" t="str">
        <f>+VLOOKUP($AJ568,Data_Validation!$A:$E,5,0)</f>
        <v>Oui</v>
      </c>
    </row>
    <row r="569" spans="1:52" ht="15" customHeight="1">
      <c r="A569" s="706" t="s">
        <v>1147</v>
      </c>
      <c r="B569" s="706">
        <v>2025</v>
      </c>
      <c r="C569" s="706" t="s">
        <v>2341</v>
      </c>
      <c r="D569" s="706" t="s">
        <v>2342</v>
      </c>
      <c r="E569" s="706" t="s">
        <v>1148</v>
      </c>
      <c r="F569" s="706" t="s">
        <v>1148</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G43120</v>
      </c>
      <c r="AK569" s="905" t="str">
        <f t="shared" si="55"/>
        <v>VTES-CL 2500 SILVERAD-LOC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G43120</v>
      </c>
      <c r="AU569" s="488" t="str">
        <f t="shared" si="52"/>
        <v>VTES-CL 2500 SILVERAD-LOC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1147</v>
      </c>
      <c r="B570" s="706">
        <v>2025</v>
      </c>
      <c r="C570" s="706" t="s">
        <v>2343</v>
      </c>
      <c r="D570" s="706" t="s">
        <v>2344</v>
      </c>
      <c r="E570" s="706" t="s">
        <v>1148</v>
      </c>
      <c r="F570" s="706" t="s">
        <v>1148</v>
      </c>
      <c r="G570" s="706">
        <v>0</v>
      </c>
      <c r="H570" s="706">
        <v>0</v>
      </c>
      <c r="I570" s="706">
        <v>0</v>
      </c>
      <c r="J570" s="706">
        <v>0</v>
      </c>
      <c r="K570" s="706">
        <v>0</v>
      </c>
      <c r="L570" s="706">
        <v>92577.91</v>
      </c>
      <c r="M570" s="706">
        <v>92577.91</v>
      </c>
      <c r="N570" s="706">
        <v>92577.91</v>
      </c>
      <c r="O570" s="706">
        <v>92577.91</v>
      </c>
      <c r="P570" s="706">
        <v>92577.91</v>
      </c>
      <c r="Q570" s="706">
        <v>92577.91</v>
      </c>
      <c r="R570" s="706">
        <v>92577.91</v>
      </c>
      <c r="S570" s="706">
        <v>8416.17</v>
      </c>
      <c r="T570" s="706">
        <v>8416.17</v>
      </c>
      <c r="U570" s="706">
        <v>0</v>
      </c>
      <c r="V570" s="706">
        <v>0</v>
      </c>
      <c r="W570" s="706">
        <v>0</v>
      </c>
      <c r="X570" s="706">
        <v>0</v>
      </c>
      <c r="Y570" s="706">
        <v>0</v>
      </c>
      <c r="Z570" s="706">
        <v>0</v>
      </c>
      <c r="AA570" s="706">
        <v>1</v>
      </c>
      <c r="AB570" s="706">
        <v>1</v>
      </c>
      <c r="AC570" s="706">
        <v>1</v>
      </c>
      <c r="AD570" s="706">
        <v>1</v>
      </c>
      <c r="AE570" s="706">
        <v>1</v>
      </c>
      <c r="AF570" s="706">
        <v>1</v>
      </c>
      <c r="AG570" s="706">
        <v>1</v>
      </c>
      <c r="AH570" s="706">
        <v>0</v>
      </c>
      <c r="AI570" s="706">
        <v>0</v>
      </c>
      <c r="AJ570" s="905" t="str">
        <f t="shared" si="54"/>
        <v>G43200</v>
      </c>
      <c r="AK570" s="905" t="str">
        <f t="shared" si="55"/>
        <v>VTES-CL 3500 SILVERADO</v>
      </c>
      <c r="AL570" s="905">
        <f>IFERROR(INDEX(G570:R570,1,MATCH(Parametres!$B$3,G$1:R$1,0)-1)*IF(OR(F570="L",F570="S",F570="I"),-1,1),"")</f>
        <v>-92577.91</v>
      </c>
      <c r="AM570" s="905">
        <f t="shared" si="50"/>
        <v>0</v>
      </c>
      <c r="AN570" s="905">
        <f>INDEX(G570:R570,1,MATCH(Parametres!$B$3,G$1:R$1,0))*IF(OR(F570="L",F570="S",F570="I"),-1,1)</f>
        <v>-92577.91</v>
      </c>
      <c r="AO570" s="487" t="str">
        <f>+VLOOKUP($AJ570,Data_Validation!$A:$D,1,0)</f>
        <v>G43200</v>
      </c>
      <c r="AP570" s="487" t="str">
        <f>+VLOOKUP($AJ570,Data_Validation!$A:$D,3,0)</f>
        <v>Véhicules neufs</v>
      </c>
      <c r="AQ570" s="487" t="str">
        <f>+VLOOKUP($AJ570,Data_Validation!$A:$D,4,0)</f>
        <v>Camions détail</v>
      </c>
      <c r="AR570" s="487" t="s">
        <v>299</v>
      </c>
      <c r="AS570" s="487" t="str">
        <f>+VLOOKUP($AJ570,Data_Validation!$A:$E,5,0)</f>
        <v>Oui</v>
      </c>
      <c r="AT570" s="904" t="str">
        <f t="shared" si="51"/>
        <v>G43200</v>
      </c>
      <c r="AU570" s="488" t="str">
        <f t="shared" si="52"/>
        <v>VTES-CL 3500 SILVERADO</v>
      </c>
      <c r="AV570" s="899">
        <f>IFERROR(INDEX(V570:AG570,1,MATCH(Parametres!$B$3,V$1:AG$1,0)-1)*IF(OR(C570="L",C570="S",C570="I"),-1,1),"")</f>
        <v>1</v>
      </c>
      <c r="AW570" s="899">
        <f t="shared" si="53"/>
        <v>0</v>
      </c>
      <c r="AX570" s="899">
        <f>INDEX(V570:AG570,1,MATCH(Parametres!$B$3,V$1:AG$1,0))*IF(OR(C570="L",C570="S",C570="I"),-1,1)</f>
        <v>1</v>
      </c>
      <c r="AY570" s="487" t="s">
        <v>337</v>
      </c>
      <c r="AZ570" s="487" t="str">
        <f>+VLOOKUP($AJ570,Data_Validation!$A:$E,5,0)</f>
        <v>Oui</v>
      </c>
    </row>
    <row r="571" spans="1:52" ht="15" hidden="1" customHeight="1">
      <c r="A571" s="706" t="s">
        <v>1147</v>
      </c>
      <c r="B571" s="706">
        <v>2025</v>
      </c>
      <c r="C571" s="706" t="s">
        <v>2345</v>
      </c>
      <c r="D571" s="706" t="s">
        <v>2346</v>
      </c>
      <c r="E571" s="706" t="s">
        <v>1148</v>
      </c>
      <c r="F571" s="706" t="s">
        <v>1148</v>
      </c>
      <c r="G571" s="706">
        <v>469505.58</v>
      </c>
      <c r="H571" s="706">
        <v>798220.64</v>
      </c>
      <c r="I571" s="706">
        <v>1009228.77</v>
      </c>
      <c r="J571" s="706">
        <v>1252723.8400000001</v>
      </c>
      <c r="K571" s="706">
        <v>1837337.96</v>
      </c>
      <c r="L571" s="706">
        <v>2461777.61</v>
      </c>
      <c r="M571" s="706">
        <v>3087450.81</v>
      </c>
      <c r="N571" s="706">
        <v>3400516.52</v>
      </c>
      <c r="O571" s="706">
        <v>3858902.61</v>
      </c>
      <c r="P571" s="706">
        <v>4321236.6100000003</v>
      </c>
      <c r="Q571" s="706">
        <v>4646459.18</v>
      </c>
      <c r="R571" s="706">
        <v>4878734.8600000003</v>
      </c>
      <c r="S571" s="706">
        <v>422405.38</v>
      </c>
      <c r="T571" s="706">
        <v>422405.38</v>
      </c>
      <c r="U571" s="706">
        <v>0</v>
      </c>
      <c r="V571" s="706">
        <v>4</v>
      </c>
      <c r="W571" s="706">
        <v>7</v>
      </c>
      <c r="X571" s="706">
        <v>9</v>
      </c>
      <c r="Y571" s="706">
        <v>11</v>
      </c>
      <c r="Z571" s="706">
        <v>16</v>
      </c>
      <c r="AA571" s="706">
        <v>22</v>
      </c>
      <c r="AB571" s="706">
        <v>28</v>
      </c>
      <c r="AC571" s="706">
        <v>31</v>
      </c>
      <c r="AD571" s="706">
        <v>35</v>
      </c>
      <c r="AE571" s="706">
        <v>39</v>
      </c>
      <c r="AF571" s="706">
        <v>42</v>
      </c>
      <c r="AG571" s="706">
        <v>44</v>
      </c>
      <c r="AH571" s="706">
        <v>4</v>
      </c>
      <c r="AI571" s="706">
        <v>4</v>
      </c>
      <c r="AJ571" s="905" t="str">
        <f t="shared" si="54"/>
        <v>G43202</v>
      </c>
      <c r="AK571" s="905" t="str">
        <f t="shared" si="55"/>
        <v>VENTES - CL2500 SIERRA</v>
      </c>
      <c r="AL571" s="905">
        <f>IFERROR(INDEX(G571:R571,1,MATCH(Parametres!$B$3,G$1:R$1,0)-1)*IF(OR(F571="L",F571="S",F571="I"),-1,1),"")</f>
        <v>-4646459.18</v>
      </c>
      <c r="AM571" s="905">
        <f t="shared" si="50"/>
        <v>-232275.68000000063</v>
      </c>
      <c r="AN571" s="905">
        <f>INDEX(G571:R571,1,MATCH(Parametres!$B$3,G$1:R$1,0))*IF(OR(F571="L",F571="S",F571="I"),-1,1)</f>
        <v>-4878734.8600000003</v>
      </c>
      <c r="AO571" s="487" t="str">
        <f>+VLOOKUP($AJ571,Data_Validation!$A:$D,1,0)</f>
        <v>G43202</v>
      </c>
      <c r="AP571" s="487" t="str">
        <f>+VLOOKUP($AJ571,Data_Validation!$A:$D,3,0)</f>
        <v>Véhicules neufs</v>
      </c>
      <c r="AQ571" s="487" t="str">
        <f>+VLOOKUP($AJ571,Data_Validation!$A:$D,4,0)</f>
        <v>Camions détail</v>
      </c>
      <c r="AR571" s="487" t="s">
        <v>299</v>
      </c>
      <c r="AS571" s="487" t="str">
        <f>+VLOOKUP($AJ571,Data_Validation!$A:$E,5,0)</f>
        <v>Oui</v>
      </c>
      <c r="AT571" s="904" t="str">
        <f t="shared" si="51"/>
        <v>G43202</v>
      </c>
      <c r="AU571" s="488" t="str">
        <f t="shared" si="52"/>
        <v>VENTES - CL2500 SIERRA</v>
      </c>
      <c r="AV571" s="899">
        <f>IFERROR(INDEX(V571:AG571,1,MATCH(Parametres!$B$3,V$1:AG$1,0)-1)*IF(OR(C571="L",C571="S",C571="I"),-1,1),"")</f>
        <v>42</v>
      </c>
      <c r="AW571" s="899">
        <f t="shared" si="53"/>
        <v>2</v>
      </c>
      <c r="AX571" s="899">
        <f>INDEX(V571:AG571,1,MATCH(Parametres!$B$3,V$1:AG$1,0))*IF(OR(C571="L",C571="S",C571="I"),-1,1)</f>
        <v>44</v>
      </c>
      <c r="AY571" s="487" t="s">
        <v>337</v>
      </c>
      <c r="AZ571" s="487" t="str">
        <f>+VLOOKUP($AJ571,Data_Validation!$A:$E,5,0)</f>
        <v>Oui</v>
      </c>
    </row>
    <row r="572" spans="1:52" ht="15" hidden="1" customHeight="1">
      <c r="A572" s="706" t="s">
        <v>1147</v>
      </c>
      <c r="B572" s="706">
        <v>2025</v>
      </c>
      <c r="C572" s="706" t="s">
        <v>2347</v>
      </c>
      <c r="D572" s="706" t="s">
        <v>2348</v>
      </c>
      <c r="E572" s="706" t="s">
        <v>1148</v>
      </c>
      <c r="F572" s="706" t="s">
        <v>1148</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G43203</v>
      </c>
      <c r="AK572" s="905" t="str">
        <f t="shared" si="55"/>
        <v>VENTES - SIERRA 3500</v>
      </c>
      <c r="AL572" s="905">
        <f>IFERROR(INDEX(G572:R572,1,MATCH(Parametres!$B$3,G$1:R$1,0)-1)*IF(OR(F572="L",F572="S",F572="I"),-1,1),"")</f>
        <v>0</v>
      </c>
      <c r="AM572" s="905">
        <f t="shared" si="50"/>
        <v>0</v>
      </c>
      <c r="AN572" s="905">
        <f>INDEX(G572:R572,1,MATCH(Parametres!$B$3,G$1:R$1,0))*IF(OR(F572="L",F572="S",F572="I"),-1,1)</f>
        <v>0</v>
      </c>
      <c r="AO572" s="487" t="str">
        <f>+VLOOKUP($AJ572,Data_Validation!$A:$D,1,0)</f>
        <v>G43203</v>
      </c>
      <c r="AP572" s="487" t="str">
        <f>+VLOOKUP($AJ572,Data_Validation!$A:$D,3,0)</f>
        <v>Véhicules neufs</v>
      </c>
      <c r="AQ572" s="487" t="str">
        <f>+VLOOKUP($AJ572,Data_Validation!$A:$D,4,0)</f>
        <v>Camions détail</v>
      </c>
      <c r="AR572" s="487" t="s">
        <v>299</v>
      </c>
      <c r="AS572" s="487" t="str">
        <f>+VLOOKUP($AJ572,Data_Validation!$A:$E,5,0)</f>
        <v>Oui</v>
      </c>
      <c r="AT572" s="904" t="str">
        <f t="shared" si="51"/>
        <v>G43203</v>
      </c>
      <c r="AU572" s="488" t="str">
        <f t="shared" si="52"/>
        <v>VENTES - SIERRA 3500</v>
      </c>
      <c r="AV572" s="899">
        <f>IFERROR(INDEX(V572:AG572,1,MATCH(Parametres!$B$3,V$1:AG$1,0)-1)*IF(OR(C572="L",C572="S",C572="I"),-1,1),"")</f>
        <v>0</v>
      </c>
      <c r="AW572" s="899">
        <f t="shared" si="53"/>
        <v>0</v>
      </c>
      <c r="AX572" s="899">
        <f>INDEX(V572:AG572,1,MATCH(Parametres!$B$3,V$1:AG$1,0))*IF(OR(C572="L",C572="S",C572="I"),-1,1)</f>
        <v>0</v>
      </c>
      <c r="AY572" s="487" t="s">
        <v>337</v>
      </c>
      <c r="AZ572" s="487" t="str">
        <f>+VLOOKUP($AJ572,Data_Validation!$A:$E,5,0)</f>
        <v>Oui</v>
      </c>
    </row>
    <row r="573" spans="1:52" ht="15" hidden="1" customHeight="1">
      <c r="A573" s="706" t="s">
        <v>1147</v>
      </c>
      <c r="B573" s="706">
        <v>2025</v>
      </c>
      <c r="C573" s="706" t="s">
        <v>2349</v>
      </c>
      <c r="D573" s="706" t="s">
        <v>2350</v>
      </c>
      <c r="E573" s="706" t="s">
        <v>1148</v>
      </c>
      <c r="F573" s="706" t="s">
        <v>1148</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G43300</v>
      </c>
      <c r="AK573" s="905" t="str">
        <f t="shared" si="55"/>
        <v>VENTES BLAZER</v>
      </c>
      <c r="AL573" s="905">
        <f>IFERROR(INDEX(G573:R573,1,MATCH(Parametres!$B$3,G$1:R$1,0)-1)*IF(OR(F573="L",F573="S",F573="I"),-1,1),"")</f>
        <v>0</v>
      </c>
      <c r="AM573" s="905">
        <f t="shared" si="50"/>
        <v>0</v>
      </c>
      <c r="AN573" s="905">
        <f>INDEX(G573:R573,1,MATCH(Parametres!$B$3,G$1:R$1,0))*IF(OR(F573="L",F573="S",F573="I"),-1,1)</f>
        <v>0</v>
      </c>
      <c r="AO573" s="487" t="str">
        <f>+VLOOKUP($AJ573,Data_Validation!$A:$D,1,0)</f>
        <v>G43300</v>
      </c>
      <c r="AP573" s="487" t="str">
        <f>+VLOOKUP($AJ573,Data_Validation!$A:$D,3,0)</f>
        <v>Véhicules neufs</v>
      </c>
      <c r="AQ573" s="487" t="str">
        <f>+VLOOKUP($AJ573,Data_Validation!$A:$D,4,0)</f>
        <v>Camions détail</v>
      </c>
      <c r="AR573" s="487" t="s">
        <v>299</v>
      </c>
      <c r="AS573" s="487" t="str">
        <f>+VLOOKUP($AJ573,Data_Validation!$A:$E,5,0)</f>
        <v>Oui</v>
      </c>
      <c r="AT573" s="904" t="str">
        <f t="shared" si="51"/>
        <v>G43300</v>
      </c>
      <c r="AU573" s="488" t="str">
        <f t="shared" si="52"/>
        <v>VENTES BLAZER</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1147</v>
      </c>
      <c r="B574" s="706">
        <v>2025</v>
      </c>
      <c r="C574" s="706" t="s">
        <v>2351</v>
      </c>
      <c r="D574" s="706" t="s">
        <v>2352</v>
      </c>
      <c r="E574" s="706" t="s">
        <v>1148</v>
      </c>
      <c r="F574" s="706" t="s">
        <v>1148</v>
      </c>
      <c r="G574" s="706">
        <v>0</v>
      </c>
      <c r="H574" s="706">
        <v>0</v>
      </c>
      <c r="I574" s="706">
        <v>76428.149999999994</v>
      </c>
      <c r="J574" s="706">
        <v>203473.38</v>
      </c>
      <c r="K574" s="706">
        <v>203473.38</v>
      </c>
      <c r="L574" s="706">
        <v>331610.38</v>
      </c>
      <c r="M574" s="706">
        <v>394566.38</v>
      </c>
      <c r="N574" s="706">
        <v>522568.06</v>
      </c>
      <c r="O574" s="706">
        <v>584186.07999999996</v>
      </c>
      <c r="P574" s="706">
        <v>643961.57999999996</v>
      </c>
      <c r="Q574" s="706">
        <v>706728.08</v>
      </c>
      <c r="R574" s="706">
        <v>1103552.49</v>
      </c>
      <c r="S574" s="706">
        <v>64248.01</v>
      </c>
      <c r="T574" s="706">
        <v>64248.01</v>
      </c>
      <c r="U574" s="706">
        <v>0</v>
      </c>
      <c r="V574" s="706">
        <v>0</v>
      </c>
      <c r="W574" s="706">
        <v>0</v>
      </c>
      <c r="X574" s="706">
        <v>1</v>
      </c>
      <c r="Y574" s="706">
        <v>3</v>
      </c>
      <c r="Z574" s="706">
        <v>3</v>
      </c>
      <c r="AA574" s="706">
        <v>5</v>
      </c>
      <c r="AB574" s="706">
        <v>6</v>
      </c>
      <c r="AC574" s="706">
        <v>8</v>
      </c>
      <c r="AD574" s="706">
        <v>9</v>
      </c>
      <c r="AE574" s="706">
        <v>10</v>
      </c>
      <c r="AF574" s="706">
        <v>11</v>
      </c>
      <c r="AG574" s="706">
        <v>17</v>
      </c>
      <c r="AH574" s="706">
        <v>1</v>
      </c>
      <c r="AI574" s="706">
        <v>1</v>
      </c>
      <c r="AJ574" s="905" t="str">
        <f t="shared" si="54"/>
        <v>G43301</v>
      </c>
      <c r="AK574" s="905" t="str">
        <f t="shared" si="55"/>
        <v>VENTES BLAZER EV</v>
      </c>
      <c r="AL574" s="905">
        <f>IFERROR(INDEX(G574:R574,1,MATCH(Parametres!$B$3,G$1:R$1,0)-1)*IF(OR(F574="L",F574="S",F574="I"),-1,1),"")</f>
        <v>-706728.08</v>
      </c>
      <c r="AM574" s="905">
        <f t="shared" si="50"/>
        <v>-396824.41000000003</v>
      </c>
      <c r="AN574" s="905">
        <f>INDEX(G574:R574,1,MATCH(Parametres!$B$3,G$1:R$1,0))*IF(OR(F574="L",F574="S",F574="I"),-1,1)</f>
        <v>-1103552.49</v>
      </c>
      <c r="AO574" s="487" t="str">
        <f>+VLOOKUP($AJ574,Data_Validation!$A:$D,1,0)</f>
        <v>G43301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G43301</v>
      </c>
      <c r="AU574" s="488" t="str">
        <f t="shared" si="52"/>
        <v>VENTES BLAZER EV</v>
      </c>
      <c r="AV574" s="899">
        <f>IFERROR(INDEX(V574:AG574,1,MATCH(Parametres!$B$3,V$1:AG$1,0)-1)*IF(OR(C574="L",C574="S",C574="I"),-1,1),"")</f>
        <v>11</v>
      </c>
      <c r="AW574" s="899">
        <f t="shared" si="53"/>
        <v>6</v>
      </c>
      <c r="AX574" s="899">
        <f>INDEX(V574:AG574,1,MATCH(Parametres!$B$3,V$1:AG$1,0))*IF(OR(C574="L",C574="S",C574="I"),-1,1)</f>
        <v>17</v>
      </c>
      <c r="AY574" s="487" t="s">
        <v>337</v>
      </c>
      <c r="AZ574" s="487" t="str">
        <f>+VLOOKUP($AJ574,Data_Validation!$A:$E,5,0)</f>
        <v>Oui</v>
      </c>
    </row>
    <row r="575" spans="1:52" ht="15" customHeight="1">
      <c r="A575" s="706" t="s">
        <v>1147</v>
      </c>
      <c r="B575" s="706">
        <v>2025</v>
      </c>
      <c r="C575" s="706" t="s">
        <v>2353</v>
      </c>
      <c r="D575" s="706" t="s">
        <v>2354</v>
      </c>
      <c r="E575" s="706" t="s">
        <v>1148</v>
      </c>
      <c r="F575" s="706" t="s">
        <v>1148</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G43320</v>
      </c>
      <c r="AK575" s="905" t="str">
        <f t="shared" si="55"/>
        <v>VTES-AVALANCHE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G43320</v>
      </c>
      <c r="AU575" s="488" t="str">
        <f t="shared" si="52"/>
        <v>VTES-AVALANCHE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1147</v>
      </c>
      <c r="B576" s="706">
        <v>2025</v>
      </c>
      <c r="C576" s="706" t="s">
        <v>2355</v>
      </c>
      <c r="D576" s="706" t="s">
        <v>2356</v>
      </c>
      <c r="E576" s="706" t="s">
        <v>1148</v>
      </c>
      <c r="F576" s="706" t="s">
        <v>1148</v>
      </c>
      <c r="G576" s="706">
        <v>0</v>
      </c>
      <c r="H576" s="706">
        <v>0</v>
      </c>
      <c r="I576" s="706">
        <v>75888</v>
      </c>
      <c r="J576" s="706">
        <v>118827.89</v>
      </c>
      <c r="K576" s="706">
        <v>199139.49</v>
      </c>
      <c r="L576" s="706">
        <v>282014.99</v>
      </c>
      <c r="M576" s="706">
        <v>354005.99</v>
      </c>
      <c r="N576" s="706">
        <v>476991.96</v>
      </c>
      <c r="O576" s="706">
        <v>658852.30000000005</v>
      </c>
      <c r="P576" s="706">
        <v>1011903.77</v>
      </c>
      <c r="Q576" s="706">
        <v>1095325.27</v>
      </c>
      <c r="R576" s="706">
        <v>1095325.27</v>
      </c>
      <c r="S576" s="706">
        <v>99575.02</v>
      </c>
      <c r="T576" s="706">
        <v>99575.02</v>
      </c>
      <c r="U576" s="706">
        <v>0</v>
      </c>
      <c r="V576" s="706">
        <v>0</v>
      </c>
      <c r="W576" s="706">
        <v>0</v>
      </c>
      <c r="X576" s="706">
        <v>2</v>
      </c>
      <c r="Y576" s="706">
        <v>3</v>
      </c>
      <c r="Z576" s="706">
        <v>5</v>
      </c>
      <c r="AA576" s="706">
        <v>7</v>
      </c>
      <c r="AB576" s="706">
        <v>9</v>
      </c>
      <c r="AC576" s="706">
        <v>12</v>
      </c>
      <c r="AD576" s="706">
        <v>16</v>
      </c>
      <c r="AE576" s="706">
        <v>24</v>
      </c>
      <c r="AF576" s="706">
        <v>26</v>
      </c>
      <c r="AG576" s="706">
        <v>26</v>
      </c>
      <c r="AH576" s="706">
        <v>2</v>
      </c>
      <c r="AI576" s="706">
        <v>2</v>
      </c>
      <c r="AJ576" s="905" t="str">
        <f t="shared" si="54"/>
        <v>G43400</v>
      </c>
      <c r="AK576" s="905" t="str">
        <f t="shared" si="55"/>
        <v>VENTES EQUINOX</v>
      </c>
      <c r="AL576" s="905">
        <f>IFERROR(INDEX(G576:R576,1,MATCH(Parametres!$B$3,G$1:R$1,0)-1)*IF(OR(F576="L",F576="S",F576="I"),-1,1),"")</f>
        <v>-1095325.27</v>
      </c>
      <c r="AM576" s="905">
        <f t="shared" si="50"/>
        <v>0</v>
      </c>
      <c r="AN576" s="905">
        <f>INDEX(G576:R576,1,MATCH(Parametres!$B$3,G$1:R$1,0))*IF(OR(F576="L",F576="S",F576="I"),-1,1)</f>
        <v>-1095325.27</v>
      </c>
      <c r="AO576" s="487" t="str">
        <f>+VLOOKUP($AJ576,Data_Validation!$A:$D,1,0)</f>
        <v>G43400</v>
      </c>
      <c r="AP576" s="487" t="str">
        <f>+VLOOKUP($AJ576,Data_Validation!$A:$D,3,0)</f>
        <v>Véhicules neufs</v>
      </c>
      <c r="AQ576" s="487" t="str">
        <f>+VLOOKUP($AJ576,Data_Validation!$A:$D,4,0)</f>
        <v>Camions détail</v>
      </c>
      <c r="AR576" s="487" t="s">
        <v>299</v>
      </c>
      <c r="AS576" s="487" t="str">
        <f>+VLOOKUP($AJ576,Data_Validation!$A:$E,5,0)</f>
        <v>Oui</v>
      </c>
      <c r="AT576" s="904" t="str">
        <f t="shared" si="51"/>
        <v>G43400</v>
      </c>
      <c r="AU576" s="488" t="str">
        <f t="shared" si="52"/>
        <v>VENTES EQUINOX</v>
      </c>
      <c r="AV576" s="899">
        <f>IFERROR(INDEX(V576:AG576,1,MATCH(Parametres!$B$3,V$1:AG$1,0)-1)*IF(OR(C576="L",C576="S",C576="I"),-1,1),"")</f>
        <v>26</v>
      </c>
      <c r="AW576" s="899">
        <f t="shared" si="53"/>
        <v>0</v>
      </c>
      <c r="AX576" s="899">
        <f>INDEX(V576:AG576,1,MATCH(Parametres!$B$3,V$1:AG$1,0))*IF(OR(C576="L",C576="S",C576="I"),-1,1)</f>
        <v>26</v>
      </c>
      <c r="AY576" s="487" t="s">
        <v>337</v>
      </c>
      <c r="AZ576" s="487" t="str">
        <f>+VLOOKUP($AJ576,Data_Validation!$A:$E,5,0)</f>
        <v>Oui</v>
      </c>
    </row>
    <row r="577" spans="1:52" ht="15" hidden="1" customHeight="1">
      <c r="A577" s="706" t="s">
        <v>1147</v>
      </c>
      <c r="B577" s="706">
        <v>2025</v>
      </c>
      <c r="C577" s="706" t="s">
        <v>2357</v>
      </c>
      <c r="D577" s="706" t="s">
        <v>2358</v>
      </c>
      <c r="E577" s="706" t="s">
        <v>1148</v>
      </c>
      <c r="F577" s="706" t="s">
        <v>1148</v>
      </c>
      <c r="G577" s="706">
        <v>705970.12</v>
      </c>
      <c r="H577" s="706">
        <v>829375.24</v>
      </c>
      <c r="I577" s="706">
        <v>884925.74</v>
      </c>
      <c r="J577" s="706">
        <v>1358020.46</v>
      </c>
      <c r="K577" s="706">
        <v>3206445.36</v>
      </c>
      <c r="L577" s="706">
        <v>4234043.87</v>
      </c>
      <c r="M577" s="706">
        <v>4969783.76</v>
      </c>
      <c r="N577" s="706">
        <v>5449525.0300000003</v>
      </c>
      <c r="O577" s="706">
        <v>6547112.71</v>
      </c>
      <c r="P577" s="706">
        <v>6948799.5899999999</v>
      </c>
      <c r="Q577" s="706">
        <v>7446841.0999999996</v>
      </c>
      <c r="R577" s="706">
        <v>8058604.04</v>
      </c>
      <c r="S577" s="706">
        <v>676985.55</v>
      </c>
      <c r="T577" s="706">
        <v>676985.55</v>
      </c>
      <c r="U577" s="706">
        <v>0</v>
      </c>
      <c r="V577" s="706">
        <v>14</v>
      </c>
      <c r="W577" s="706">
        <v>16</v>
      </c>
      <c r="X577" s="706">
        <v>17</v>
      </c>
      <c r="Y577" s="706">
        <v>26</v>
      </c>
      <c r="Z577" s="706">
        <v>61</v>
      </c>
      <c r="AA577" s="706">
        <v>81</v>
      </c>
      <c r="AB577" s="706">
        <v>95</v>
      </c>
      <c r="AC577" s="706">
        <v>104</v>
      </c>
      <c r="AD577" s="706">
        <v>124</v>
      </c>
      <c r="AE577" s="706">
        <v>131</v>
      </c>
      <c r="AF577" s="706">
        <v>140</v>
      </c>
      <c r="AG577" s="706">
        <v>151</v>
      </c>
      <c r="AH577" s="706">
        <v>13</v>
      </c>
      <c r="AI577" s="706">
        <v>13</v>
      </c>
      <c r="AJ577" s="905" t="str">
        <f t="shared" si="54"/>
        <v>G43401</v>
      </c>
      <c r="AK577" s="905" t="str">
        <f t="shared" si="55"/>
        <v>VTES - EQUINOX EV</v>
      </c>
      <c r="AL577" s="905">
        <f>IFERROR(INDEX(G577:R577,1,MATCH(Parametres!$B$3,G$1:R$1,0)-1)*IF(OR(F577="L",F577="S",F577="I"),-1,1),"")</f>
        <v>-7446841.0999999996</v>
      </c>
      <c r="AM577" s="905">
        <f t="shared" si="50"/>
        <v>-611762.94000000041</v>
      </c>
      <c r="AN577" s="905">
        <f>INDEX(G577:R577,1,MATCH(Parametres!$B$3,G$1:R$1,0))*IF(OR(F577="L",F577="S",F577="I"),-1,1)</f>
        <v>-8058604.04</v>
      </c>
      <c r="AO577" s="487" t="str">
        <f>+VLOOKUP($AJ577,Data_Validation!$A:$D,1,0)</f>
        <v>G43401</v>
      </c>
      <c r="AP577" s="487" t="str">
        <f>+VLOOKUP($AJ577,Data_Validation!$A:$D,3,0)</f>
        <v>Véhicules neufs</v>
      </c>
      <c r="AQ577" s="487" t="str">
        <f>+VLOOKUP($AJ577,Data_Validation!$A:$D,4,0)</f>
        <v>Camions electriques</v>
      </c>
      <c r="AR577" s="487" t="s">
        <v>299</v>
      </c>
      <c r="AS577" s="487" t="str">
        <f>+VLOOKUP($AJ577,Data_Validation!$A:$E,5,0)</f>
        <v>Oui</v>
      </c>
      <c r="AT577" s="904" t="str">
        <f t="shared" si="51"/>
        <v>G43401</v>
      </c>
      <c r="AU577" s="488" t="str">
        <f t="shared" si="52"/>
        <v>VTES - EQUINOX EV</v>
      </c>
      <c r="AV577" s="899">
        <f>IFERROR(INDEX(V577:AG577,1,MATCH(Parametres!$B$3,V$1:AG$1,0)-1)*IF(OR(C577="L",C577="S",C577="I"),-1,1),"")</f>
        <v>140</v>
      </c>
      <c r="AW577" s="899">
        <f t="shared" si="53"/>
        <v>11</v>
      </c>
      <c r="AX577" s="899">
        <f>INDEX(V577:AG577,1,MATCH(Parametres!$B$3,V$1:AG$1,0))*IF(OR(C577="L",C577="S",C577="I"),-1,1)</f>
        <v>151</v>
      </c>
      <c r="AY577" s="487" t="s">
        <v>337</v>
      </c>
      <c r="AZ577" s="487" t="str">
        <f>+VLOOKUP($AJ577,Data_Validation!$A:$E,5,0)</f>
        <v>Oui</v>
      </c>
    </row>
    <row r="578" spans="1:52" ht="15" customHeight="1">
      <c r="A578" s="706" t="s">
        <v>1147</v>
      </c>
      <c r="B578" s="706">
        <v>2025</v>
      </c>
      <c r="C578" s="706" t="s">
        <v>2359</v>
      </c>
      <c r="D578" s="706" t="s">
        <v>2360</v>
      </c>
      <c r="E578" s="706" t="s">
        <v>1148</v>
      </c>
      <c r="F578" s="706" t="s">
        <v>1148</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G43420</v>
      </c>
      <c r="AK578" s="905" t="str">
        <f t="shared" si="55"/>
        <v>VTES-TRACKER         -LOC</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G43420</v>
      </c>
      <c r="AU578" s="488" t="str">
        <f t="shared" si="52"/>
        <v>VTES-TRACKER         -LOC</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hidden="1" customHeight="1">
      <c r="A579" s="706" t="s">
        <v>1147</v>
      </c>
      <c r="B579" s="706">
        <v>2025</v>
      </c>
      <c r="C579" s="706" t="s">
        <v>2361</v>
      </c>
      <c r="D579" s="706" t="s">
        <v>2362</v>
      </c>
      <c r="E579" s="706" t="s">
        <v>1148</v>
      </c>
      <c r="F579" s="706" t="s">
        <v>1148</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G43500</v>
      </c>
      <c r="AK579" s="905" t="str">
        <f t="shared" si="55"/>
        <v>VENTES CHEV CITY</v>
      </c>
      <c r="AL579" s="905">
        <f>IFERROR(INDEX(G579:R579,1,MATCH(Parametres!$B$3,G$1:R$1,0)-1)*IF(OR(F579="L",F579="S",F579="I"),-1,1),"")</f>
        <v>0</v>
      </c>
      <c r="AM579" s="905">
        <f t="shared" si="50"/>
        <v>0</v>
      </c>
      <c r="AN579" s="905">
        <f>INDEX(G579:R579,1,MATCH(Parametres!$B$3,G$1:R$1,0))*IF(OR(F579="L",F579="S",F579="I"),-1,1)</f>
        <v>0</v>
      </c>
      <c r="AO579" s="487" t="str">
        <f>+VLOOKUP($AJ579,Data_Validation!$A:$D,1,0)</f>
        <v>G43500</v>
      </c>
      <c r="AP579" s="487" t="str">
        <f>+VLOOKUP($AJ579,Data_Validation!$A:$D,3,0)</f>
        <v>Véhicules neufs</v>
      </c>
      <c r="AQ579" s="487" t="str">
        <f>+VLOOKUP($AJ579,Data_Validation!$A:$D,4,0)</f>
        <v>Camions détail</v>
      </c>
      <c r="AR579" s="487" t="s">
        <v>299</v>
      </c>
      <c r="AS579" s="487" t="str">
        <f>+VLOOKUP($AJ579,Data_Validation!$A:$E,5,0)</f>
        <v>Oui</v>
      </c>
      <c r="AT579" s="904" t="str">
        <f t="shared" si="51"/>
        <v>G43500</v>
      </c>
      <c r="AU579" s="488" t="str">
        <f t="shared" si="52"/>
        <v>VENTES CHEV CITY</v>
      </c>
      <c r="AV579" s="899">
        <f>IFERROR(INDEX(V579:AG579,1,MATCH(Parametres!$B$3,V$1:AG$1,0)-1)*IF(OR(C579="L",C579="S",C579="I"),-1,1),"")</f>
        <v>0</v>
      </c>
      <c r="AW579" s="899">
        <f t="shared" si="53"/>
        <v>0</v>
      </c>
      <c r="AX579" s="899">
        <f>INDEX(V579:AG579,1,MATCH(Parametres!$B$3,V$1:AG$1,0))*IF(OR(C579="L",C579="S",C579="I"),-1,1)</f>
        <v>0</v>
      </c>
      <c r="AY579" s="487" t="s">
        <v>337</v>
      </c>
      <c r="AZ579" s="487" t="str">
        <f>+VLOOKUP($AJ579,Data_Validation!$A:$E,5,0)</f>
        <v>Oui</v>
      </c>
    </row>
    <row r="580" spans="1:52" ht="15" hidden="1" customHeight="1">
      <c r="A580" s="706" t="s">
        <v>1147</v>
      </c>
      <c r="B580" s="706">
        <v>2025</v>
      </c>
      <c r="C580" s="706" t="s">
        <v>2363</v>
      </c>
      <c r="D580" s="706" t="s">
        <v>2364</v>
      </c>
      <c r="E580" s="706" t="s">
        <v>1148</v>
      </c>
      <c r="F580" s="706" t="s">
        <v>1148</v>
      </c>
      <c r="G580" s="706">
        <v>224186.66</v>
      </c>
      <c r="H580" s="706">
        <v>343851.69</v>
      </c>
      <c r="I580" s="706">
        <v>463259.55</v>
      </c>
      <c r="J580" s="706">
        <v>463259.55</v>
      </c>
      <c r="K580" s="706">
        <v>583324.05000000005</v>
      </c>
      <c r="L580" s="706">
        <v>722544.55</v>
      </c>
      <c r="M580" s="706">
        <v>722544.55</v>
      </c>
      <c r="N580" s="706">
        <v>722544.55</v>
      </c>
      <c r="O580" s="706">
        <v>722544.55</v>
      </c>
      <c r="P580" s="706">
        <v>722544.55</v>
      </c>
      <c r="Q580" s="706">
        <v>722544.55</v>
      </c>
      <c r="R580" s="706">
        <v>722544.55</v>
      </c>
      <c r="S580" s="706">
        <v>65685.87</v>
      </c>
      <c r="T580" s="706">
        <v>65685.87</v>
      </c>
      <c r="U580" s="706">
        <v>0</v>
      </c>
      <c r="V580" s="706">
        <v>2</v>
      </c>
      <c r="W580" s="706">
        <v>3</v>
      </c>
      <c r="X580" s="706">
        <v>4</v>
      </c>
      <c r="Y580" s="706">
        <v>4</v>
      </c>
      <c r="Z580" s="706">
        <v>5</v>
      </c>
      <c r="AA580" s="706">
        <v>6</v>
      </c>
      <c r="AB580" s="706">
        <v>6</v>
      </c>
      <c r="AC580" s="706">
        <v>6</v>
      </c>
      <c r="AD580" s="706">
        <v>6</v>
      </c>
      <c r="AE580" s="706">
        <v>6</v>
      </c>
      <c r="AF580" s="706">
        <v>6</v>
      </c>
      <c r="AG580" s="706">
        <v>6</v>
      </c>
      <c r="AH580" s="706">
        <v>1</v>
      </c>
      <c r="AI580" s="706">
        <v>1</v>
      </c>
      <c r="AJ580" s="905" t="str">
        <f t="shared" si="54"/>
        <v>G43501</v>
      </c>
      <c r="AK580" s="905" t="str">
        <f t="shared" si="55"/>
        <v>VTES - HUMMER EV SUV</v>
      </c>
      <c r="AL580" s="905">
        <f>IFERROR(INDEX(G580:R580,1,MATCH(Parametres!$B$3,G$1:R$1,0)-1)*IF(OR(F580="L",F580="S",F580="I"),-1,1),"")</f>
        <v>-722544.55</v>
      </c>
      <c r="AM580" s="905">
        <f t="shared" ref="AM580:AM643" si="56">AN580-AL580</f>
        <v>0</v>
      </c>
      <c r="AN580" s="905">
        <f>INDEX(G580:R580,1,MATCH(Parametres!$B$3,G$1:R$1,0))*IF(OR(F580="L",F580="S",F580="I"),-1,1)</f>
        <v>-722544.55</v>
      </c>
      <c r="AO580" s="487" t="str">
        <f>+VLOOKUP($AJ580,Data_Validation!$A:$D,1,0)</f>
        <v>G43501</v>
      </c>
      <c r="AP580" s="487" t="str">
        <f>+VLOOKUP($AJ580,Data_Validation!$A:$D,3,0)</f>
        <v>Véhicules neufs</v>
      </c>
      <c r="AQ580" s="487" t="str">
        <f>+VLOOKUP($AJ580,Data_Validation!$A:$D,4,0)</f>
        <v>Camions electriques</v>
      </c>
      <c r="AR580" s="487" t="s">
        <v>299</v>
      </c>
      <c r="AS580" s="487" t="str">
        <f>+VLOOKUP($AJ580,Data_Validation!$A:$E,5,0)</f>
        <v>Oui</v>
      </c>
      <c r="AT580" s="904" t="str">
        <f t="shared" ref="AT580:AT643" si="57">C580</f>
        <v>G43501</v>
      </c>
      <c r="AU580" s="488" t="str">
        <f t="shared" ref="AU580:AU643" si="58">D580</f>
        <v>VTES - HUMMER EV SUV</v>
      </c>
      <c r="AV580" s="899">
        <f>IFERROR(INDEX(V580:AG580,1,MATCH(Parametres!$B$3,V$1:AG$1,0)-1)*IF(OR(C580="L",C580="S",C580="I"),-1,1),"")</f>
        <v>6</v>
      </c>
      <c r="AW580" s="899">
        <f t="shared" ref="AW580:AW643" si="59">AX580-AV580</f>
        <v>0</v>
      </c>
      <c r="AX580" s="899">
        <f>INDEX(V580:AG580,1,MATCH(Parametres!$B$3,V$1:AG$1,0))*IF(OR(C580="L",C580="S",C580="I"),-1,1)</f>
        <v>6</v>
      </c>
      <c r="AY580" s="487" t="s">
        <v>337</v>
      </c>
      <c r="AZ580" s="487" t="str">
        <f>+VLOOKUP($AJ580,Data_Validation!$A:$E,5,0)</f>
        <v>Oui</v>
      </c>
    </row>
    <row r="581" spans="1:52" ht="15" customHeight="1">
      <c r="A581" s="706" t="s">
        <v>1147</v>
      </c>
      <c r="B581" s="706">
        <v>2025</v>
      </c>
      <c r="C581" s="706" t="s">
        <v>2365</v>
      </c>
      <c r="D581" s="706" t="s">
        <v>2366</v>
      </c>
      <c r="E581" s="706" t="s">
        <v>1148</v>
      </c>
      <c r="F581" s="706" t="s">
        <v>1148</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G43520</v>
      </c>
      <c r="AK581" s="905" t="str">
        <f t="shared" si="55"/>
        <v>VTES-SSR             -LOC</v>
      </c>
      <c r="AL581" s="905">
        <f>IFERROR(INDEX(G581:R581,1,MATCH(Parametres!$B$3,G$1:R$1,0)-1)*IF(OR(F581="L",F581="S",F581="I"),-1,1),"")</f>
        <v>0</v>
      </c>
      <c r="AM581" s="905">
        <f t="shared" si="56"/>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t="str">
        <f t="shared" si="57"/>
        <v>G43520</v>
      </c>
      <c r="AU581" s="488" t="str">
        <f t="shared" si="58"/>
        <v>VTES-SSR             -LOC</v>
      </c>
      <c r="AV581" s="899">
        <f>IFERROR(INDEX(V581:AG581,1,MATCH(Parametres!$B$3,V$1:AG$1,0)-1)*IF(OR(C581="L",C581="S",C581="I"),-1,1),"")</f>
        <v>0</v>
      </c>
      <c r="AW581" s="899">
        <f t="shared" si="59"/>
        <v>0</v>
      </c>
      <c r="AX581" s="899">
        <f>INDEX(V581:AG581,1,MATCH(Parametres!$B$3,V$1:AG$1,0))*IF(OR(C581="L",C581="S",C581="I"),-1,1)</f>
        <v>0</v>
      </c>
      <c r="AY581" s="487" t="s">
        <v>337</v>
      </c>
      <c r="AZ581" s="487" t="e">
        <f>+VLOOKUP($AJ581,Data_Validation!$A:$E,5,0)</f>
        <v>#N/A</v>
      </c>
    </row>
    <row r="582" spans="1:52" ht="15" hidden="1" customHeight="1">
      <c r="A582" s="706" t="s">
        <v>1147</v>
      </c>
      <c r="B582" s="706">
        <v>2025</v>
      </c>
      <c r="C582" s="706" t="s">
        <v>2367</v>
      </c>
      <c r="D582" s="706" t="s">
        <v>2368</v>
      </c>
      <c r="E582" s="706" t="s">
        <v>1148</v>
      </c>
      <c r="F582" s="706" t="s">
        <v>1148</v>
      </c>
      <c r="G582" s="706">
        <v>97735.18</v>
      </c>
      <c r="H582" s="706">
        <v>97735.18</v>
      </c>
      <c r="I582" s="706">
        <v>132400.68</v>
      </c>
      <c r="J582" s="706">
        <v>166398.68</v>
      </c>
      <c r="K582" s="706">
        <v>166398.68</v>
      </c>
      <c r="L582" s="706">
        <v>240589.26</v>
      </c>
      <c r="M582" s="706">
        <v>240589.26</v>
      </c>
      <c r="N582" s="706">
        <v>359341.77</v>
      </c>
      <c r="O582" s="706">
        <v>398819.27</v>
      </c>
      <c r="P582" s="706">
        <v>469475.94</v>
      </c>
      <c r="Q582" s="706">
        <v>501145.44</v>
      </c>
      <c r="R582" s="706">
        <v>501145.44</v>
      </c>
      <c r="S582" s="706">
        <v>45558.68</v>
      </c>
      <c r="T582" s="706">
        <v>45558.68</v>
      </c>
      <c r="U582" s="706">
        <v>0</v>
      </c>
      <c r="V582" s="706">
        <v>3</v>
      </c>
      <c r="W582" s="706">
        <v>3</v>
      </c>
      <c r="X582" s="706">
        <v>4</v>
      </c>
      <c r="Y582" s="706">
        <v>5</v>
      </c>
      <c r="Z582" s="706">
        <v>5</v>
      </c>
      <c r="AA582" s="706">
        <v>7</v>
      </c>
      <c r="AB582" s="706">
        <v>7</v>
      </c>
      <c r="AC582" s="706">
        <v>10</v>
      </c>
      <c r="AD582" s="706">
        <v>11</v>
      </c>
      <c r="AE582" s="706">
        <v>13</v>
      </c>
      <c r="AF582" s="706">
        <v>14</v>
      </c>
      <c r="AG582" s="706">
        <v>14</v>
      </c>
      <c r="AH582" s="706">
        <v>1</v>
      </c>
      <c r="AI582" s="706">
        <v>1</v>
      </c>
      <c r="AJ582" s="905" t="str">
        <f t="shared" si="54"/>
        <v>G43600</v>
      </c>
      <c r="AK582" s="905" t="str">
        <f t="shared" si="55"/>
        <v>VTES-TRAIL BLAZER</v>
      </c>
      <c r="AL582" s="905">
        <f>IFERROR(INDEX(G582:R582,1,MATCH(Parametres!$B$3,G$1:R$1,0)-1)*IF(OR(F582="L",F582="S",F582="I"),-1,1),"")</f>
        <v>-501145.44</v>
      </c>
      <c r="AM582" s="905">
        <f t="shared" si="56"/>
        <v>0</v>
      </c>
      <c r="AN582" s="905">
        <f>INDEX(G582:R582,1,MATCH(Parametres!$B$3,G$1:R$1,0))*IF(OR(F582="L",F582="S",F582="I"),-1,1)</f>
        <v>-501145.44</v>
      </c>
      <c r="AO582" s="487" t="str">
        <f>+VLOOKUP($AJ582,Data_Validation!$A:$D,1,0)</f>
        <v>G43600</v>
      </c>
      <c r="AP582" s="487" t="str">
        <f>+VLOOKUP($AJ582,Data_Validation!$A:$D,3,0)</f>
        <v>Véhicules neufs</v>
      </c>
      <c r="AQ582" s="487" t="str">
        <f>+VLOOKUP($AJ582,Data_Validation!$A:$D,4,0)</f>
        <v>Camions détail</v>
      </c>
      <c r="AR582" s="487" t="s">
        <v>299</v>
      </c>
      <c r="AS582" s="487" t="str">
        <f>+VLOOKUP($AJ582,Data_Validation!$A:$E,5,0)</f>
        <v>Oui</v>
      </c>
      <c r="AT582" s="904" t="str">
        <f t="shared" si="57"/>
        <v>G43600</v>
      </c>
      <c r="AU582" s="488" t="str">
        <f t="shared" si="58"/>
        <v>VTES-TRAIL BLAZER</v>
      </c>
      <c r="AV582" s="899">
        <f>IFERROR(INDEX(V582:AG582,1,MATCH(Parametres!$B$3,V$1:AG$1,0)-1)*IF(OR(C582="L",C582="S",C582="I"),-1,1),"")</f>
        <v>14</v>
      </c>
      <c r="AW582" s="899">
        <f t="shared" si="59"/>
        <v>0</v>
      </c>
      <c r="AX582" s="899">
        <f>INDEX(V582:AG582,1,MATCH(Parametres!$B$3,V$1:AG$1,0))*IF(OR(C582="L",C582="S",C582="I"),-1,1)</f>
        <v>14</v>
      </c>
      <c r="AY582" s="487" t="s">
        <v>337</v>
      </c>
      <c r="AZ582" s="487" t="str">
        <f>+VLOOKUP($AJ582,Data_Validation!$A:$E,5,0)</f>
        <v>Oui</v>
      </c>
    </row>
    <row r="583" spans="1:52" ht="15" hidden="1" customHeight="1">
      <c r="A583" s="706" t="s">
        <v>1147</v>
      </c>
      <c r="B583" s="706">
        <v>2025</v>
      </c>
      <c r="C583" s="706" t="s">
        <v>2369</v>
      </c>
      <c r="D583" s="706" t="s">
        <v>2370</v>
      </c>
      <c r="E583" s="706" t="s">
        <v>1148</v>
      </c>
      <c r="F583" s="706" t="s">
        <v>1148</v>
      </c>
      <c r="G583" s="706">
        <v>0</v>
      </c>
      <c r="H583" s="706">
        <v>0</v>
      </c>
      <c r="I583" s="706">
        <v>67238</v>
      </c>
      <c r="J583" s="706">
        <v>133871</v>
      </c>
      <c r="K583" s="706">
        <v>133871</v>
      </c>
      <c r="L583" s="706">
        <v>197760</v>
      </c>
      <c r="M583" s="706">
        <v>315241</v>
      </c>
      <c r="N583" s="706">
        <v>315241</v>
      </c>
      <c r="O583" s="706">
        <v>315241</v>
      </c>
      <c r="P583" s="706">
        <v>315241</v>
      </c>
      <c r="Q583" s="706">
        <v>315241</v>
      </c>
      <c r="R583" s="706">
        <v>442532.72</v>
      </c>
      <c r="S583" s="706">
        <v>28658.27</v>
      </c>
      <c r="T583" s="706">
        <v>28658.27</v>
      </c>
      <c r="U583" s="706">
        <v>0</v>
      </c>
      <c r="V583" s="706">
        <v>0</v>
      </c>
      <c r="W583" s="706">
        <v>0</v>
      </c>
      <c r="X583" s="706">
        <v>1</v>
      </c>
      <c r="Y583" s="706">
        <v>2</v>
      </c>
      <c r="Z583" s="706">
        <v>2</v>
      </c>
      <c r="AA583" s="706">
        <v>3</v>
      </c>
      <c r="AB583" s="706">
        <v>5</v>
      </c>
      <c r="AC583" s="706">
        <v>5</v>
      </c>
      <c r="AD583" s="706">
        <v>5</v>
      </c>
      <c r="AE583" s="706">
        <v>5</v>
      </c>
      <c r="AF583" s="706">
        <v>5</v>
      </c>
      <c r="AG583" s="706">
        <v>7</v>
      </c>
      <c r="AH583" s="706">
        <v>0</v>
      </c>
      <c r="AI583" s="706">
        <v>0</v>
      </c>
      <c r="AJ583" s="905" t="str">
        <f t="shared" si="54"/>
        <v>G43602</v>
      </c>
      <c r="AK583" s="905" t="str">
        <f t="shared" si="55"/>
        <v>VENTES GMC ACADIA</v>
      </c>
      <c r="AL583" s="905">
        <f>IFERROR(INDEX(G583:R583,1,MATCH(Parametres!$B$3,G$1:R$1,0)-1)*IF(OR(F583="L",F583="S",F583="I"),-1,1),"")</f>
        <v>-315241</v>
      </c>
      <c r="AM583" s="905">
        <f t="shared" si="56"/>
        <v>-127291.71999999997</v>
      </c>
      <c r="AN583" s="905">
        <f>INDEX(G583:R583,1,MATCH(Parametres!$B$3,G$1:R$1,0))*IF(OR(F583="L",F583="S",F583="I"),-1,1)</f>
        <v>-442532.72</v>
      </c>
      <c r="AO583" s="487" t="str">
        <f>+VLOOKUP($AJ583,Data_Validation!$A:$D,1,0)</f>
        <v>G43602</v>
      </c>
      <c r="AP583" s="487" t="str">
        <f>+VLOOKUP($AJ583,Data_Validation!$A:$D,3,0)</f>
        <v>Véhicules neufs</v>
      </c>
      <c r="AQ583" s="487" t="str">
        <f>+VLOOKUP($AJ583,Data_Validation!$A:$D,4,0)</f>
        <v>Camions détail</v>
      </c>
      <c r="AR583" s="487" t="s">
        <v>299</v>
      </c>
      <c r="AS583" s="487" t="str">
        <f>+VLOOKUP($AJ583,Data_Validation!$A:$E,5,0)</f>
        <v>Oui</v>
      </c>
      <c r="AT583" s="904" t="str">
        <f t="shared" si="57"/>
        <v>G43602</v>
      </c>
      <c r="AU583" s="488" t="str">
        <f t="shared" si="58"/>
        <v>VENTES GMC ACADIA</v>
      </c>
      <c r="AV583" s="899">
        <f>IFERROR(INDEX(V583:AG583,1,MATCH(Parametres!$B$3,V$1:AG$1,0)-1)*IF(OR(C583="L",C583="S",C583="I"),-1,1),"")</f>
        <v>5</v>
      </c>
      <c r="AW583" s="899">
        <f t="shared" si="59"/>
        <v>2</v>
      </c>
      <c r="AX583" s="899">
        <f>INDEX(V583:AG583,1,MATCH(Parametres!$B$3,V$1:AG$1,0))*IF(OR(C583="L",C583="S",C583="I"),-1,1)</f>
        <v>7</v>
      </c>
      <c r="AY583" s="487" t="s">
        <v>337</v>
      </c>
      <c r="AZ583" s="487" t="str">
        <f>+VLOOKUP($AJ583,Data_Validation!$A:$E,5,0)</f>
        <v>Oui</v>
      </c>
    </row>
    <row r="584" spans="1:52" ht="15" customHeight="1">
      <c r="A584" s="706" t="s">
        <v>1147</v>
      </c>
      <c r="B584" s="706">
        <v>2025</v>
      </c>
      <c r="C584" s="706" t="s">
        <v>2371</v>
      </c>
      <c r="D584" s="706" t="s">
        <v>2372</v>
      </c>
      <c r="E584" s="706" t="s">
        <v>1148</v>
      </c>
      <c r="F584" s="706" t="s">
        <v>1148</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0</v>
      </c>
      <c r="W584" s="706">
        <v>0</v>
      </c>
      <c r="X584" s="706">
        <v>0</v>
      </c>
      <c r="Y584" s="706">
        <v>0</v>
      </c>
      <c r="Z584" s="706">
        <v>0</v>
      </c>
      <c r="AA584" s="706">
        <v>0</v>
      </c>
      <c r="AB584" s="706">
        <v>0</v>
      </c>
      <c r="AC584" s="706">
        <v>0</v>
      </c>
      <c r="AD584" s="706">
        <v>0</v>
      </c>
      <c r="AE584" s="706">
        <v>0</v>
      </c>
      <c r="AF584" s="706">
        <v>0</v>
      </c>
      <c r="AG584" s="706">
        <v>0</v>
      </c>
      <c r="AH584" s="706">
        <v>0</v>
      </c>
      <c r="AI584" s="706">
        <v>0</v>
      </c>
      <c r="AJ584" s="905" t="str">
        <f t="shared" si="54"/>
        <v>G43800</v>
      </c>
      <c r="AK584" s="905" t="str">
        <f t="shared" si="55"/>
        <v>VTES-CHEV CAMION AUTRES</v>
      </c>
      <c r="AL584" s="905">
        <f>IFERROR(INDEX(G584:R584,1,MATCH(Parametres!$B$3,G$1:R$1,0)-1)*IF(OR(F584="L",F584="S",F584="I"),-1,1),"")</f>
        <v>0</v>
      </c>
      <c r="AM584" s="905">
        <f t="shared" si="56"/>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t="str">
        <f t="shared" si="57"/>
        <v>G43800</v>
      </c>
      <c r="AU584" s="488" t="str">
        <f t="shared" si="58"/>
        <v>VTES-CHEV CAMION AUTRES</v>
      </c>
      <c r="AV584" s="899">
        <f>IFERROR(INDEX(V584:AG584,1,MATCH(Parametres!$B$3,V$1:AG$1,0)-1)*IF(OR(C584="L",C584="S",C584="I"),-1,1),"")</f>
        <v>0</v>
      </c>
      <c r="AW584" s="899">
        <f t="shared" si="59"/>
        <v>0</v>
      </c>
      <c r="AX584" s="899">
        <f>INDEX(V584:AG584,1,MATCH(Parametres!$B$3,V$1:AG$1,0))*IF(OR(C584="L",C584="S",C584="I"),-1,1)</f>
        <v>0</v>
      </c>
      <c r="AY584" s="487" t="s">
        <v>337</v>
      </c>
      <c r="AZ584" s="487" t="e">
        <f>+VLOOKUP($AJ584,Data_Validation!$A:$E,5,0)</f>
        <v>#N/A</v>
      </c>
    </row>
    <row r="585" spans="1:52" ht="15" customHeight="1">
      <c r="A585" s="706" t="s">
        <v>1147</v>
      </c>
      <c r="B585" s="706">
        <v>2025</v>
      </c>
      <c r="C585" s="706" t="s">
        <v>2373</v>
      </c>
      <c r="D585" s="706" t="s">
        <v>2374</v>
      </c>
      <c r="E585" s="706" t="s">
        <v>1148</v>
      </c>
      <c r="F585" s="706" t="s">
        <v>1148</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G43820</v>
      </c>
      <c r="AK585" s="905" t="str">
        <f t="shared" si="55"/>
        <v>VTES-CHEV CAM AUTRE  -LOC</v>
      </c>
      <c r="AL585" s="905">
        <f>IFERROR(INDEX(G585:R585,1,MATCH(Parametres!$B$3,G$1:R$1,0)-1)*IF(OR(F585="L",F585="S",F585="I"),-1,1),"")</f>
        <v>0</v>
      </c>
      <c r="AM585" s="905">
        <f t="shared" si="56"/>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t="str">
        <f t="shared" si="57"/>
        <v>G43820</v>
      </c>
      <c r="AU585" s="488" t="str">
        <f t="shared" si="58"/>
        <v>VTES-CHEV CAM AUTRE  -LOC</v>
      </c>
      <c r="AV585" s="899">
        <f>IFERROR(INDEX(V585:AG585,1,MATCH(Parametres!$B$3,V$1:AG$1,0)-1)*IF(OR(C585="L",C585="S",C585="I"),-1,1),"")</f>
        <v>0</v>
      </c>
      <c r="AW585" s="899">
        <f t="shared" si="59"/>
        <v>0</v>
      </c>
      <c r="AX585" s="899">
        <f>INDEX(V585:AG585,1,MATCH(Parametres!$B$3,V$1:AG$1,0))*IF(OR(C585="L",C585="S",C585="I"),-1,1)</f>
        <v>0</v>
      </c>
      <c r="AY585" s="487" t="s">
        <v>337</v>
      </c>
      <c r="AZ585" s="487" t="e">
        <f>+VLOOKUP($AJ585,Data_Validation!$A:$E,5,0)</f>
        <v>#N/A</v>
      </c>
    </row>
    <row r="586" spans="1:52" ht="15" hidden="1" customHeight="1">
      <c r="A586" s="706" t="s">
        <v>1147</v>
      </c>
      <c r="B586" s="706">
        <v>2025</v>
      </c>
      <c r="C586" s="706" t="s">
        <v>2375</v>
      </c>
      <c r="D586" s="706" t="s">
        <v>2376</v>
      </c>
      <c r="E586" s="706" t="s">
        <v>1148</v>
      </c>
      <c r="F586" s="706" t="s">
        <v>1148</v>
      </c>
      <c r="G586" s="706">
        <v>5031510.09</v>
      </c>
      <c r="H586" s="706">
        <v>8926571.25</v>
      </c>
      <c r="I586" s="706">
        <v>19838612.43</v>
      </c>
      <c r="J586" s="706">
        <v>33211129.059999999</v>
      </c>
      <c r="K586" s="706">
        <v>45128401.799999997</v>
      </c>
      <c r="L586" s="706">
        <v>58402629.149999999</v>
      </c>
      <c r="M586" s="706">
        <v>64355784.130000003</v>
      </c>
      <c r="N586" s="706">
        <v>67243266.129999995</v>
      </c>
      <c r="O586" s="706">
        <v>72125162.510000005</v>
      </c>
      <c r="P586" s="706">
        <v>81647696.670000002</v>
      </c>
      <c r="Q586" s="706">
        <v>91824706.569999993</v>
      </c>
      <c r="R586" s="706">
        <v>95931307.75</v>
      </c>
      <c r="S586" s="706">
        <v>8347700.5999999996</v>
      </c>
      <c r="T586" s="706">
        <v>8347700.5999999996</v>
      </c>
      <c r="U586" s="706">
        <v>0</v>
      </c>
      <c r="V586" s="706">
        <v>107</v>
      </c>
      <c r="W586" s="706">
        <v>177</v>
      </c>
      <c r="X586" s="706">
        <v>358</v>
      </c>
      <c r="Y586" s="706">
        <v>585</v>
      </c>
      <c r="Z586" s="706">
        <v>793</v>
      </c>
      <c r="AA586" s="706">
        <v>1023</v>
      </c>
      <c r="AB586" s="706">
        <v>1116</v>
      </c>
      <c r="AC586" s="706">
        <v>1170</v>
      </c>
      <c r="AD586" s="706">
        <v>1252</v>
      </c>
      <c r="AE586" s="706">
        <v>1402</v>
      </c>
      <c r="AF586" s="706">
        <v>1544</v>
      </c>
      <c r="AG586" s="706">
        <v>1607</v>
      </c>
      <c r="AH586" s="706">
        <v>140</v>
      </c>
      <c r="AI586" s="706">
        <v>140</v>
      </c>
      <c r="AJ586" s="905" t="str">
        <f t="shared" si="54"/>
        <v>G44000</v>
      </c>
      <c r="AK586" s="905" t="str">
        <f t="shared" si="55"/>
        <v>VENTES PARCS CAMIONS</v>
      </c>
      <c r="AL586" s="905">
        <f>IFERROR(INDEX(G586:R586,1,MATCH(Parametres!$B$3,G$1:R$1,0)-1)*IF(OR(F586="L",F586="S",F586="I"),-1,1),"")</f>
        <v>-91824706.569999993</v>
      </c>
      <c r="AM586" s="905">
        <f t="shared" si="56"/>
        <v>-4106601.1800000072</v>
      </c>
      <c r="AN586" s="905">
        <f>INDEX(G586:R586,1,MATCH(Parametres!$B$3,G$1:R$1,0))*IF(OR(F586="L",F586="S",F586="I"),-1,1)</f>
        <v>-95931307.75</v>
      </c>
      <c r="AO586" s="487" t="str">
        <f>+VLOOKUP($AJ586,Data_Validation!$A:$D,1,0)</f>
        <v>G44000</v>
      </c>
      <c r="AP586" s="487" t="str">
        <f>+VLOOKUP($AJ586,Data_Validation!$A:$D,3,0)</f>
        <v>Véhicules neufs</v>
      </c>
      <c r="AQ586" s="487" t="str">
        <f>+VLOOKUP($AJ586,Data_Validation!$A:$D,4,0)</f>
        <v>Flottes</v>
      </c>
      <c r="AR586" s="487" t="s">
        <v>299</v>
      </c>
      <c r="AS586" s="487" t="str">
        <f>+VLOOKUP($AJ586,Data_Validation!$A:$E,5,0)</f>
        <v>Oui</v>
      </c>
      <c r="AT586" s="904" t="str">
        <f t="shared" si="57"/>
        <v>G44000</v>
      </c>
      <c r="AU586" s="488" t="str">
        <f t="shared" si="58"/>
        <v>VENTES PARCS CAMIONS</v>
      </c>
      <c r="AV586" s="899">
        <f>IFERROR(INDEX(V586:AG586,1,MATCH(Parametres!$B$3,V$1:AG$1,0)-1)*IF(OR(C586="L",C586="S",C586="I"),-1,1),"")</f>
        <v>1544</v>
      </c>
      <c r="AW586" s="899">
        <f t="shared" si="59"/>
        <v>63</v>
      </c>
      <c r="AX586" s="899">
        <f>INDEX(V586:AG586,1,MATCH(Parametres!$B$3,V$1:AG$1,0))*IF(OR(C586="L",C586="S",C586="I"),-1,1)</f>
        <v>1607</v>
      </c>
      <c r="AY586" s="487" t="s">
        <v>337</v>
      </c>
      <c r="AZ586" s="487" t="str">
        <f>+VLOOKUP($AJ586,Data_Validation!$A:$E,5,0)</f>
        <v>Oui</v>
      </c>
    </row>
    <row r="587" spans="1:52" ht="15" hidden="1" customHeight="1">
      <c r="A587" s="706" t="s">
        <v>1147</v>
      </c>
      <c r="B587" s="706">
        <v>2025</v>
      </c>
      <c r="C587" s="706" t="s">
        <v>2377</v>
      </c>
      <c r="D587" s="706" t="s">
        <v>2378</v>
      </c>
      <c r="E587" s="706" t="s">
        <v>1148</v>
      </c>
      <c r="F587" s="706" t="s">
        <v>1148</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G44100</v>
      </c>
      <c r="AK587" s="905" t="str">
        <f t="shared" si="55"/>
        <v>VTES-INTERNE CAMIONS</v>
      </c>
      <c r="AL587" s="905">
        <f>IFERROR(INDEX(G587:R587,1,MATCH(Parametres!$B$3,G$1:R$1,0)-1)*IF(OR(F587="L",F587="S",F587="I"),-1,1),"")</f>
        <v>0</v>
      </c>
      <c r="AM587" s="905">
        <f t="shared" si="56"/>
        <v>0</v>
      </c>
      <c r="AN587" s="905">
        <f>INDEX(G587:R587,1,MATCH(Parametres!$B$3,G$1:R$1,0))*IF(OR(F587="L",F587="S",F587="I"),-1,1)</f>
        <v>0</v>
      </c>
      <c r="AO587" s="487" t="str">
        <f>+VLOOKUP($AJ587,Data_Validation!$A:$D,1,0)</f>
        <v>G44100</v>
      </c>
      <c r="AP587" s="487" t="str">
        <f>+VLOOKUP($AJ587,Data_Validation!$A:$D,3,0)</f>
        <v>Véhicules neufs</v>
      </c>
      <c r="AQ587" s="487" t="str">
        <f>+VLOOKUP($AJ587,Data_Validation!$A:$D,4,0)</f>
        <v>Flottes</v>
      </c>
      <c r="AR587" s="487" t="s">
        <v>299</v>
      </c>
      <c r="AS587" s="487" t="str">
        <f>+VLOOKUP($AJ587,Data_Validation!$A:$E,5,0)</f>
        <v>Oui</v>
      </c>
      <c r="AT587" s="904" t="str">
        <f t="shared" si="57"/>
        <v>G44100</v>
      </c>
      <c r="AU587" s="488" t="str">
        <f t="shared" si="58"/>
        <v>VTES-INTERNE CAMIONS</v>
      </c>
      <c r="AV587" s="899">
        <f>IFERROR(INDEX(V587:AG587,1,MATCH(Parametres!$B$3,V$1:AG$1,0)-1)*IF(OR(C587="L",C587="S",C587="I"),-1,1),"")</f>
        <v>0</v>
      </c>
      <c r="AW587" s="899">
        <f t="shared" si="59"/>
        <v>0</v>
      </c>
      <c r="AX587" s="899">
        <f>INDEX(V587:AG587,1,MATCH(Parametres!$B$3,V$1:AG$1,0))*IF(OR(C587="L",C587="S",C587="I"),-1,1)</f>
        <v>0</v>
      </c>
      <c r="AY587" s="487" t="s">
        <v>337</v>
      </c>
      <c r="AZ587" s="487" t="str">
        <f>+VLOOKUP($AJ587,Data_Validation!$A:$E,5,0)</f>
        <v>Oui</v>
      </c>
    </row>
    <row r="588" spans="1:52" ht="15" hidden="1" customHeight="1">
      <c r="A588" s="706" t="s">
        <v>1147</v>
      </c>
      <c r="B588" s="706">
        <v>2025</v>
      </c>
      <c r="C588" s="706" t="s">
        <v>2379</v>
      </c>
      <c r="D588" s="706" t="s">
        <v>2380</v>
      </c>
      <c r="E588" s="706" t="s">
        <v>333</v>
      </c>
      <c r="F588" s="706" t="s">
        <v>1148</v>
      </c>
      <c r="G588" s="706">
        <v>85348.86</v>
      </c>
      <c r="H588" s="706">
        <v>158557.85999999999</v>
      </c>
      <c r="I588" s="706">
        <v>250323.86</v>
      </c>
      <c r="J588" s="706">
        <v>309561.86</v>
      </c>
      <c r="K588" s="706">
        <v>377401.86</v>
      </c>
      <c r="L588" s="706">
        <v>474717.86</v>
      </c>
      <c r="M588" s="706">
        <v>549891.38</v>
      </c>
      <c r="N588" s="706">
        <v>650789.38</v>
      </c>
      <c r="O588" s="706">
        <v>733781.38</v>
      </c>
      <c r="P588" s="706">
        <v>810551.93</v>
      </c>
      <c r="Q588" s="706">
        <v>870816.93</v>
      </c>
      <c r="R588" s="706">
        <v>940380.94</v>
      </c>
      <c r="S588" s="706">
        <v>79165.179999999993</v>
      </c>
      <c r="T588" s="706">
        <v>79165.179999999993</v>
      </c>
      <c r="U588" s="706">
        <v>0</v>
      </c>
      <c r="V588" s="706">
        <v>28</v>
      </c>
      <c r="W588" s="706">
        <v>47</v>
      </c>
      <c r="X588" s="706">
        <v>74</v>
      </c>
      <c r="Y588" s="706">
        <v>92</v>
      </c>
      <c r="Z588" s="706">
        <v>116</v>
      </c>
      <c r="AA588" s="706">
        <v>143</v>
      </c>
      <c r="AB588" s="706">
        <v>164</v>
      </c>
      <c r="AC588" s="706">
        <v>199</v>
      </c>
      <c r="AD588" s="706">
        <v>229</v>
      </c>
      <c r="AE588" s="706">
        <v>250</v>
      </c>
      <c r="AF588" s="706">
        <v>265</v>
      </c>
      <c r="AG588" s="706">
        <v>287</v>
      </c>
      <c r="AH588" s="706">
        <v>24</v>
      </c>
      <c r="AI588" s="706">
        <v>24</v>
      </c>
      <c r="AJ588" s="905" t="str">
        <f t="shared" si="54"/>
        <v>G44300</v>
      </c>
      <c r="AK588" s="905" t="str">
        <f t="shared" si="55"/>
        <v>VTES-PLAN PROTECTION</v>
      </c>
      <c r="AL588" s="905">
        <f>IFERROR(INDEX(G588:R588,1,MATCH(Parametres!$B$3,G$1:R$1,0)-1)*IF(OR(F588="L",F588="S",F588="I"),-1,1),"")</f>
        <v>-870816.93</v>
      </c>
      <c r="AM588" s="905">
        <f t="shared" si="56"/>
        <v>-69564.009999999893</v>
      </c>
      <c r="AN588" s="905">
        <f>INDEX(G588:R588,1,MATCH(Parametres!$B$3,G$1:R$1,0))*IF(OR(F588="L",F588="S",F588="I"),-1,1)</f>
        <v>-940380.94</v>
      </c>
      <c r="AO588" s="487" t="str">
        <f>+VLOOKUP($AJ588,Data_Validation!$A:$D,1,0)</f>
        <v>G44300</v>
      </c>
      <c r="AP588" s="487" t="str">
        <f>+VLOOKUP($AJ588,Data_Validation!$A:$D,3,0)</f>
        <v>Véhicules neufs</v>
      </c>
      <c r="AQ588" s="487" t="str">
        <f>+VLOOKUP($AJ588,Data_Validation!$A:$D,4,0)</f>
        <v>Rev. Protections</v>
      </c>
      <c r="AR588" s="487" t="s">
        <v>299</v>
      </c>
      <c r="AS588" s="487" t="str">
        <f>+VLOOKUP($AJ588,Data_Validation!$A:$E,5,0)</f>
        <v>Oui</v>
      </c>
      <c r="AT588" s="904" t="str">
        <f t="shared" si="57"/>
        <v>G44300</v>
      </c>
      <c r="AU588" s="488" t="str">
        <f t="shared" si="58"/>
        <v>VTES-PLAN PROTECTION</v>
      </c>
      <c r="AV588" s="899">
        <f>IFERROR(INDEX(V588:AG588,1,MATCH(Parametres!$B$3,V$1:AG$1,0)-1)*IF(OR(C588="L",C588="S",C588="I"),-1,1),"")</f>
        <v>265</v>
      </c>
      <c r="AW588" s="899">
        <f t="shared" si="59"/>
        <v>22</v>
      </c>
      <c r="AX588" s="899">
        <f>INDEX(V588:AG588,1,MATCH(Parametres!$B$3,V$1:AG$1,0))*IF(OR(C588="L",C588="S",C588="I"),-1,1)</f>
        <v>287</v>
      </c>
      <c r="AY588" s="487" t="s">
        <v>337</v>
      </c>
      <c r="AZ588" s="487" t="str">
        <f>+VLOOKUP($AJ588,Data_Validation!$A:$E,5,0)</f>
        <v>Oui</v>
      </c>
    </row>
    <row r="589" spans="1:52" ht="15" hidden="1" customHeight="1">
      <c r="A589" s="706" t="s">
        <v>1147</v>
      </c>
      <c r="B589" s="706">
        <v>2025</v>
      </c>
      <c r="C589" s="706" t="s">
        <v>2381</v>
      </c>
      <c r="D589" s="706" t="s">
        <v>2382</v>
      </c>
      <c r="E589" s="706" t="s">
        <v>333</v>
      </c>
      <c r="F589" s="706" t="s">
        <v>1148</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G44400</v>
      </c>
      <c r="AK589" s="905" t="str">
        <f t="shared" si="55"/>
        <v>VENTE PROTECTION PLUS</v>
      </c>
      <c r="AL589" s="905">
        <f>IFERROR(INDEX(G589:R589,1,MATCH(Parametres!$B$3,G$1:R$1,0)-1)*IF(OR(F589="L",F589="S",F589="I"),-1,1),"")</f>
        <v>0</v>
      </c>
      <c r="AM589" s="905">
        <f t="shared" si="56"/>
        <v>0</v>
      </c>
      <c r="AN589" s="905">
        <f>INDEX(G589:R589,1,MATCH(Parametres!$B$3,G$1:R$1,0))*IF(OR(F589="L",F589="S",F589="I"),-1,1)</f>
        <v>0</v>
      </c>
      <c r="AO589" s="487" t="str">
        <f>+VLOOKUP($AJ589,Data_Validation!$A:$D,1,0)</f>
        <v>G44400</v>
      </c>
      <c r="AP589" s="487" t="str">
        <f>+VLOOKUP($AJ589,Data_Validation!$A:$D,3,0)</f>
        <v>Véhicules neufs</v>
      </c>
      <c r="AQ589" s="487" t="str">
        <f>+VLOOKUP($AJ589,Data_Validation!$A:$D,4,0)</f>
        <v>Rev. Protections</v>
      </c>
      <c r="AR589" s="487" t="s">
        <v>299</v>
      </c>
      <c r="AS589" s="487" t="str">
        <f>+VLOOKUP($AJ589,Data_Validation!$A:$E,5,0)</f>
        <v>Oui</v>
      </c>
      <c r="AT589" s="904" t="str">
        <f t="shared" si="57"/>
        <v>G44400</v>
      </c>
      <c r="AU589" s="488" t="str">
        <f t="shared" si="58"/>
        <v>VENTE PROTECTION PLUS</v>
      </c>
      <c r="AV589" s="899">
        <f>IFERROR(INDEX(V589:AG589,1,MATCH(Parametres!$B$3,V$1:AG$1,0)-1)*IF(OR(C589="L",C589="S",C589="I"),-1,1),"")</f>
        <v>0</v>
      </c>
      <c r="AW589" s="899">
        <f t="shared" si="59"/>
        <v>0</v>
      </c>
      <c r="AX589" s="899">
        <f>INDEX(V589:AG589,1,MATCH(Parametres!$B$3,V$1:AG$1,0))*IF(OR(C589="L",C589="S",C589="I"),-1,1)</f>
        <v>0</v>
      </c>
      <c r="AY589" s="487" t="s">
        <v>337</v>
      </c>
      <c r="AZ589" s="487" t="str">
        <f>+VLOOKUP($AJ589,Data_Validation!$A:$E,5,0)</f>
        <v>Oui</v>
      </c>
    </row>
    <row r="590" spans="1:52" ht="15" hidden="1" customHeight="1">
      <c r="A590" s="706" t="s">
        <v>1147</v>
      </c>
      <c r="B590" s="706">
        <v>2025</v>
      </c>
      <c r="C590" s="706" t="s">
        <v>2383</v>
      </c>
      <c r="D590" s="706" t="s">
        <v>2384</v>
      </c>
      <c r="E590" s="706" t="s">
        <v>333</v>
      </c>
      <c r="F590" s="706" t="s">
        <v>1148</v>
      </c>
      <c r="G590" s="706">
        <v>0</v>
      </c>
      <c r="H590" s="706">
        <v>0</v>
      </c>
      <c r="I590" s="706">
        <v>0</v>
      </c>
      <c r="J590" s="706">
        <v>1598</v>
      </c>
      <c r="K590" s="706">
        <v>1598</v>
      </c>
      <c r="L590" s="706">
        <v>2497</v>
      </c>
      <c r="M590" s="706">
        <v>2497</v>
      </c>
      <c r="N590" s="706">
        <v>4495</v>
      </c>
      <c r="O590" s="706">
        <v>4495</v>
      </c>
      <c r="P590" s="706">
        <v>5394</v>
      </c>
      <c r="Q590" s="706">
        <v>6193</v>
      </c>
      <c r="R590" s="706">
        <v>8491</v>
      </c>
      <c r="S590" s="706">
        <v>563</v>
      </c>
      <c r="T590" s="706">
        <v>563</v>
      </c>
      <c r="U590" s="706">
        <v>0</v>
      </c>
      <c r="V590" s="706">
        <v>0</v>
      </c>
      <c r="W590" s="706">
        <v>0</v>
      </c>
      <c r="X590" s="706">
        <v>0</v>
      </c>
      <c r="Y590" s="706">
        <v>2</v>
      </c>
      <c r="Z590" s="706">
        <v>2</v>
      </c>
      <c r="AA590" s="706">
        <v>3</v>
      </c>
      <c r="AB590" s="706">
        <v>3</v>
      </c>
      <c r="AC590" s="706">
        <v>6</v>
      </c>
      <c r="AD590" s="706">
        <v>6</v>
      </c>
      <c r="AE590" s="706">
        <v>7</v>
      </c>
      <c r="AF590" s="706">
        <v>8</v>
      </c>
      <c r="AG590" s="706">
        <v>10</v>
      </c>
      <c r="AH590" s="706">
        <v>1</v>
      </c>
      <c r="AI590" s="706">
        <v>1</v>
      </c>
      <c r="AJ590" s="905" t="str">
        <f t="shared" si="54"/>
        <v>G44501</v>
      </c>
      <c r="AK590" s="905" t="str">
        <f t="shared" si="55"/>
        <v>VTES-ANTIROUILLE</v>
      </c>
      <c r="AL590" s="905">
        <f>IFERROR(INDEX(G590:R590,1,MATCH(Parametres!$B$3,G$1:R$1,0)-1)*IF(OR(F590="L",F590="S",F590="I"),-1,1),"")</f>
        <v>-6193</v>
      </c>
      <c r="AM590" s="905">
        <f t="shared" si="56"/>
        <v>-2298</v>
      </c>
      <c r="AN590" s="905">
        <f>INDEX(G590:R590,1,MATCH(Parametres!$B$3,G$1:R$1,0))*IF(OR(F590="L",F590="S",F590="I"),-1,1)</f>
        <v>-8491</v>
      </c>
      <c r="AO590" s="487" t="str">
        <f>+VLOOKUP($AJ590,Data_Validation!$A:$D,1,0)</f>
        <v>G44501</v>
      </c>
      <c r="AP590" s="487" t="str">
        <f>+VLOOKUP($AJ590,Data_Validation!$A:$D,3,0)</f>
        <v>Véhicules neufs</v>
      </c>
      <c r="AQ590" s="487" t="str">
        <f>+VLOOKUP($AJ590,Data_Validation!$A:$D,4,0)</f>
        <v>Rev. Autres</v>
      </c>
      <c r="AR590" s="487" t="s">
        <v>299</v>
      </c>
      <c r="AS590" s="487" t="str">
        <f>+VLOOKUP($AJ590,Data_Validation!$A:$E,5,0)</f>
        <v>Oui</v>
      </c>
      <c r="AT590" s="904" t="str">
        <f t="shared" si="57"/>
        <v>G44501</v>
      </c>
      <c r="AU590" s="488" t="str">
        <f t="shared" si="58"/>
        <v>VTES-ANTIROUILLE</v>
      </c>
      <c r="AV590" s="899">
        <f>IFERROR(INDEX(V590:AG590,1,MATCH(Parametres!$B$3,V$1:AG$1,0)-1)*IF(OR(C590="L",C590="S",C590="I"),-1,1),"")</f>
        <v>8</v>
      </c>
      <c r="AW590" s="899">
        <f t="shared" si="59"/>
        <v>2</v>
      </c>
      <c r="AX590" s="899">
        <f>INDEX(V590:AG590,1,MATCH(Parametres!$B$3,V$1:AG$1,0))*IF(OR(C590="L",C590="S",C590="I"),-1,1)</f>
        <v>10</v>
      </c>
      <c r="AY590" s="487" t="s">
        <v>337</v>
      </c>
      <c r="AZ590" s="487" t="str">
        <f>+VLOOKUP($AJ590,Data_Validation!$A:$E,5,0)</f>
        <v>Oui</v>
      </c>
    </row>
    <row r="591" spans="1:52" ht="15" hidden="1" customHeight="1">
      <c r="A591" s="706" t="s">
        <v>1147</v>
      </c>
      <c r="B591" s="706">
        <v>2025</v>
      </c>
      <c r="C591" s="706" t="s">
        <v>2385</v>
      </c>
      <c r="D591" s="706" t="s">
        <v>2386</v>
      </c>
      <c r="E591" s="706" t="s">
        <v>333</v>
      </c>
      <c r="F591" s="706" t="s">
        <v>1148</v>
      </c>
      <c r="G591" s="706">
        <v>3354</v>
      </c>
      <c r="H591" s="706">
        <v>6054</v>
      </c>
      <c r="I591" s="706">
        <v>9054</v>
      </c>
      <c r="J591" s="706">
        <v>10254</v>
      </c>
      <c r="K591" s="706">
        <v>13226</v>
      </c>
      <c r="L591" s="706">
        <v>22240</v>
      </c>
      <c r="M591" s="706">
        <v>28590</v>
      </c>
      <c r="N591" s="706">
        <v>46554</v>
      </c>
      <c r="O591" s="706">
        <v>54484</v>
      </c>
      <c r="P591" s="706">
        <v>56877</v>
      </c>
      <c r="Q591" s="706">
        <v>59132.9</v>
      </c>
      <c r="R591" s="706">
        <v>60185.9</v>
      </c>
      <c r="S591" s="706">
        <v>5375.72</v>
      </c>
      <c r="T591" s="706">
        <v>5375.72</v>
      </c>
      <c r="U591" s="706">
        <v>0</v>
      </c>
      <c r="V591" s="706">
        <v>2</v>
      </c>
      <c r="W591" s="706">
        <v>4</v>
      </c>
      <c r="X591" s="706">
        <v>9</v>
      </c>
      <c r="Y591" s="706">
        <v>12</v>
      </c>
      <c r="Z591" s="706">
        <v>17</v>
      </c>
      <c r="AA591" s="706">
        <v>33</v>
      </c>
      <c r="AB591" s="706">
        <v>45</v>
      </c>
      <c r="AC591" s="706">
        <v>67</v>
      </c>
      <c r="AD591" s="706">
        <v>74</v>
      </c>
      <c r="AE591" s="706">
        <v>78</v>
      </c>
      <c r="AF591" s="706">
        <v>83</v>
      </c>
      <c r="AG591" s="706">
        <v>86</v>
      </c>
      <c r="AH591" s="706">
        <v>8</v>
      </c>
      <c r="AI591" s="706">
        <v>8</v>
      </c>
      <c r="AJ591" s="905" t="str">
        <f t="shared" si="54"/>
        <v>G44503</v>
      </c>
      <c r="AK591" s="905" t="str">
        <f t="shared" si="55"/>
        <v>V.TEINTÉE-PEINTURE-TISSUS</v>
      </c>
      <c r="AL591" s="905">
        <f>IFERROR(INDEX(G591:R591,1,MATCH(Parametres!$B$3,G$1:R$1,0)-1)*IF(OR(F591="L",F591="S",F591="I"),-1,1),"")</f>
        <v>-59132.9</v>
      </c>
      <c r="AM591" s="905">
        <f t="shared" si="56"/>
        <v>-1053</v>
      </c>
      <c r="AN591" s="905">
        <f>INDEX(G591:R591,1,MATCH(Parametres!$B$3,G$1:R$1,0))*IF(OR(F591="L",F591="S",F591="I"),-1,1)</f>
        <v>-60185.9</v>
      </c>
      <c r="AO591" s="487" t="str">
        <f>+VLOOKUP($AJ591,Data_Validation!$A:$D,1,0)</f>
        <v>G44503</v>
      </c>
      <c r="AP591" s="487" t="str">
        <f>+VLOOKUP($AJ591,Data_Validation!$A:$D,3,0)</f>
        <v>Véhicules neufs</v>
      </c>
      <c r="AQ591" s="487" t="str">
        <f>+VLOOKUP($AJ591,Data_Validation!$A:$D,4,0)</f>
        <v>Rev. Autres</v>
      </c>
      <c r="AR591" s="487" t="s">
        <v>299</v>
      </c>
      <c r="AS591" s="487" t="str">
        <f>+VLOOKUP($AJ591,Data_Validation!$A:$E,5,0)</f>
        <v>Oui</v>
      </c>
      <c r="AT591" s="904" t="str">
        <f t="shared" si="57"/>
        <v>G44503</v>
      </c>
      <c r="AU591" s="488" t="str">
        <f t="shared" si="58"/>
        <v>V.TEINTÉE-PEINTURE-TISSUS</v>
      </c>
      <c r="AV591" s="899">
        <f>IFERROR(INDEX(V591:AG591,1,MATCH(Parametres!$B$3,V$1:AG$1,0)-1)*IF(OR(C591="L",C591="S",C591="I"),-1,1),"")</f>
        <v>83</v>
      </c>
      <c r="AW591" s="899">
        <f t="shared" si="59"/>
        <v>3</v>
      </c>
      <c r="AX591" s="899">
        <f>INDEX(V591:AG591,1,MATCH(Parametres!$B$3,V$1:AG$1,0))*IF(OR(C591="L",C591="S",C591="I"),-1,1)</f>
        <v>86</v>
      </c>
      <c r="AY591" s="487" t="s">
        <v>337</v>
      </c>
      <c r="AZ591" s="487" t="str">
        <f>+VLOOKUP($AJ591,Data_Validation!$A:$E,5,0)</f>
        <v>Oui</v>
      </c>
    </row>
    <row r="592" spans="1:52" ht="15" hidden="1" customHeight="1">
      <c r="A592" s="706" t="s">
        <v>1147</v>
      </c>
      <c r="B592" s="706">
        <v>2025</v>
      </c>
      <c r="C592" s="706" t="s">
        <v>2387</v>
      </c>
      <c r="D592" s="706" t="s">
        <v>2388</v>
      </c>
      <c r="E592" s="706" t="s">
        <v>333</v>
      </c>
      <c r="F592" s="706" t="s">
        <v>1148</v>
      </c>
      <c r="G592" s="706">
        <v>14885</v>
      </c>
      <c r="H592" s="706">
        <v>21274</v>
      </c>
      <c r="I592" s="706">
        <v>27277</v>
      </c>
      <c r="J592" s="706">
        <v>31454</v>
      </c>
      <c r="K592" s="706">
        <v>39828</v>
      </c>
      <c r="L592" s="706">
        <v>46616</v>
      </c>
      <c r="M592" s="706">
        <v>51000</v>
      </c>
      <c r="N592" s="706">
        <v>61317</v>
      </c>
      <c r="O592" s="706">
        <v>75973</v>
      </c>
      <c r="P592" s="706">
        <v>97586</v>
      </c>
      <c r="Q592" s="706">
        <v>113953</v>
      </c>
      <c r="R592" s="706">
        <v>129472</v>
      </c>
      <c r="S592" s="706">
        <v>10359.36</v>
      </c>
      <c r="T592" s="706">
        <v>10359.36</v>
      </c>
      <c r="U592" s="706">
        <v>0</v>
      </c>
      <c r="V592" s="706">
        <v>6</v>
      </c>
      <c r="W592" s="706">
        <v>8</v>
      </c>
      <c r="X592" s="706">
        <v>10</v>
      </c>
      <c r="Y592" s="706">
        <v>12</v>
      </c>
      <c r="Z592" s="706">
        <v>14</v>
      </c>
      <c r="AA592" s="706">
        <v>16</v>
      </c>
      <c r="AB592" s="706">
        <v>18</v>
      </c>
      <c r="AC592" s="706">
        <v>20</v>
      </c>
      <c r="AD592" s="706">
        <v>25</v>
      </c>
      <c r="AE592" s="706">
        <v>31</v>
      </c>
      <c r="AF592" s="706">
        <v>36</v>
      </c>
      <c r="AG592" s="706">
        <v>42</v>
      </c>
      <c r="AH592" s="706">
        <v>3</v>
      </c>
      <c r="AI592" s="706">
        <v>3</v>
      </c>
      <c r="AJ592" s="905" t="str">
        <f t="shared" si="54"/>
        <v>G44504</v>
      </c>
      <c r="AK592" s="905" t="str">
        <f t="shared" si="55"/>
        <v>VTES-ASS. VALEUR REMPL</v>
      </c>
      <c r="AL592" s="905">
        <f>IFERROR(INDEX(G592:R592,1,MATCH(Parametres!$B$3,G$1:R$1,0)-1)*IF(OR(F592="L",F592="S",F592="I"),-1,1),"")</f>
        <v>-113953</v>
      </c>
      <c r="AM592" s="905">
        <f t="shared" si="56"/>
        <v>-15519</v>
      </c>
      <c r="AN592" s="905">
        <f>INDEX(G592:R592,1,MATCH(Parametres!$B$3,G$1:R$1,0))*IF(OR(F592="L",F592="S",F592="I"),-1,1)</f>
        <v>-129472</v>
      </c>
      <c r="AO592" s="487" t="str">
        <f>+VLOOKUP($AJ592,Data_Validation!$A:$D,1,0)</f>
        <v>G44504</v>
      </c>
      <c r="AP592" s="487" t="str">
        <f>+VLOOKUP($AJ592,Data_Validation!$A:$D,3,0)</f>
        <v>Véhicules neufs</v>
      </c>
      <c r="AQ592" s="487" t="str">
        <f>+VLOOKUP($AJ592,Data_Validation!$A:$D,4,0)</f>
        <v>Rev. Protections</v>
      </c>
      <c r="AR592" s="487" t="s">
        <v>299</v>
      </c>
      <c r="AS592" s="487" t="str">
        <f>+VLOOKUP($AJ592,Data_Validation!$A:$E,5,0)</f>
        <v>Oui</v>
      </c>
      <c r="AT592" s="904" t="str">
        <f t="shared" si="57"/>
        <v>G44504</v>
      </c>
      <c r="AU592" s="488" t="str">
        <f t="shared" si="58"/>
        <v>VTES-ASS. VALEUR REMPL</v>
      </c>
      <c r="AV592" s="899">
        <f>IFERROR(INDEX(V592:AG592,1,MATCH(Parametres!$B$3,V$1:AG$1,0)-1)*IF(OR(C592="L",C592="S",C592="I"),-1,1),"")</f>
        <v>36</v>
      </c>
      <c r="AW592" s="899">
        <f t="shared" si="59"/>
        <v>6</v>
      </c>
      <c r="AX592" s="899">
        <f>INDEX(V592:AG592,1,MATCH(Parametres!$B$3,V$1:AG$1,0))*IF(OR(C592="L",C592="S",C592="I"),-1,1)</f>
        <v>42</v>
      </c>
      <c r="AY592" s="487" t="s">
        <v>337</v>
      </c>
      <c r="AZ592" s="487" t="str">
        <f>+VLOOKUP($AJ592,Data_Validation!$A:$E,5,0)</f>
        <v>Oui</v>
      </c>
    </row>
    <row r="593" spans="1:52" ht="15" hidden="1" customHeight="1">
      <c r="A593" s="706" t="s">
        <v>1147</v>
      </c>
      <c r="B593" s="706">
        <v>2025</v>
      </c>
      <c r="C593" s="706" t="s">
        <v>2389</v>
      </c>
      <c r="D593" s="706" t="s">
        <v>2390</v>
      </c>
      <c r="E593" s="706" t="s">
        <v>333</v>
      </c>
      <c r="F593" s="706" t="s">
        <v>1148</v>
      </c>
      <c r="G593" s="706">
        <v>4660</v>
      </c>
      <c r="H593" s="706">
        <v>9473</v>
      </c>
      <c r="I593" s="706">
        <v>12190</v>
      </c>
      <c r="J593" s="706">
        <v>13903</v>
      </c>
      <c r="K593" s="706">
        <v>18953</v>
      </c>
      <c r="L593" s="706">
        <v>22699</v>
      </c>
      <c r="M593" s="706">
        <v>32896</v>
      </c>
      <c r="N593" s="706">
        <v>39472</v>
      </c>
      <c r="O593" s="706">
        <v>42229</v>
      </c>
      <c r="P593" s="706">
        <v>44494</v>
      </c>
      <c r="Q593" s="706">
        <v>44777.93</v>
      </c>
      <c r="R593" s="706">
        <v>47833.93</v>
      </c>
      <c r="S593" s="706">
        <v>4070.72</v>
      </c>
      <c r="T593" s="706">
        <v>4070.72</v>
      </c>
      <c r="U593" s="706">
        <v>0</v>
      </c>
      <c r="V593" s="706">
        <v>9</v>
      </c>
      <c r="W593" s="706">
        <v>20</v>
      </c>
      <c r="X593" s="706">
        <v>27</v>
      </c>
      <c r="Y593" s="706">
        <v>32</v>
      </c>
      <c r="Z593" s="706">
        <v>43</v>
      </c>
      <c r="AA593" s="706">
        <v>52</v>
      </c>
      <c r="AB593" s="706">
        <v>74</v>
      </c>
      <c r="AC593" s="706">
        <v>88</v>
      </c>
      <c r="AD593" s="706">
        <v>94</v>
      </c>
      <c r="AE593" s="706">
        <v>98</v>
      </c>
      <c r="AF593" s="706">
        <v>99</v>
      </c>
      <c r="AG593" s="706">
        <v>106</v>
      </c>
      <c r="AH593" s="706">
        <v>9</v>
      </c>
      <c r="AI593" s="706">
        <v>9</v>
      </c>
      <c r="AJ593" s="905" t="str">
        <f t="shared" si="54"/>
        <v>G44505</v>
      </c>
      <c r="AK593" s="905" t="str">
        <f t="shared" si="55"/>
        <v>VENTES-ANTIVOL &amp; TAG</v>
      </c>
      <c r="AL593" s="905">
        <f>IFERROR(INDEX(G593:R593,1,MATCH(Parametres!$B$3,G$1:R$1,0)-1)*IF(OR(F593="L",F593="S",F593="I"),-1,1),"")</f>
        <v>-44777.93</v>
      </c>
      <c r="AM593" s="905">
        <f t="shared" si="56"/>
        <v>-3056</v>
      </c>
      <c r="AN593" s="905">
        <f>INDEX(G593:R593,1,MATCH(Parametres!$B$3,G$1:R$1,0))*IF(OR(F593="L",F593="S",F593="I"),-1,1)</f>
        <v>-47833.93</v>
      </c>
      <c r="AO593" s="487" t="str">
        <f>+VLOOKUP($AJ593,Data_Validation!$A:$D,1,0)</f>
        <v>G44505</v>
      </c>
      <c r="AP593" s="487" t="str">
        <f>+VLOOKUP($AJ593,Data_Validation!$A:$D,3,0)</f>
        <v>Véhicules neufs</v>
      </c>
      <c r="AQ593" s="487" t="str">
        <f>+VLOOKUP($AJ593,Data_Validation!$A:$D,4,0)</f>
        <v>Rev. Autres</v>
      </c>
      <c r="AR593" s="487" t="s">
        <v>299</v>
      </c>
      <c r="AS593" s="487" t="str">
        <f>+VLOOKUP($AJ593,Data_Validation!$A:$E,5,0)</f>
        <v>Oui</v>
      </c>
      <c r="AT593" s="904" t="str">
        <f t="shared" si="57"/>
        <v>G44505</v>
      </c>
      <c r="AU593" s="488" t="str">
        <f t="shared" si="58"/>
        <v>VENTES-ANTIVOL &amp; TAG</v>
      </c>
      <c r="AV593" s="899">
        <f>IFERROR(INDEX(V593:AG593,1,MATCH(Parametres!$B$3,V$1:AG$1,0)-1)*IF(OR(C593="L",C593="S",C593="I"),-1,1),"")</f>
        <v>99</v>
      </c>
      <c r="AW593" s="899">
        <f t="shared" si="59"/>
        <v>7</v>
      </c>
      <c r="AX593" s="899">
        <f>INDEX(V593:AG593,1,MATCH(Parametres!$B$3,V$1:AG$1,0))*IF(OR(C593="L",C593="S",C593="I"),-1,1)</f>
        <v>106</v>
      </c>
      <c r="AY593" s="487" t="s">
        <v>337</v>
      </c>
      <c r="AZ593" s="487" t="str">
        <f>+VLOOKUP($AJ593,Data_Validation!$A:$E,5,0)</f>
        <v>Oui</v>
      </c>
    </row>
    <row r="594" spans="1:52" ht="15" hidden="1" customHeight="1">
      <c r="A594" s="706" t="s">
        <v>1147</v>
      </c>
      <c r="B594" s="706">
        <v>2025</v>
      </c>
      <c r="C594" s="706" t="s">
        <v>2391</v>
      </c>
      <c r="D594" s="706" t="s">
        <v>2392</v>
      </c>
      <c r="E594" s="706" t="s">
        <v>1148</v>
      </c>
      <c r="F594" s="706" t="s">
        <v>1148</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G44600</v>
      </c>
      <c r="AK594" s="905" t="str">
        <f t="shared" si="55"/>
        <v>VTES-AUTOS OCC. DET.OPT.</v>
      </c>
      <c r="AL594" s="905">
        <f>IFERROR(INDEX(G594:R594,1,MATCH(Parametres!$B$3,G$1:R$1,0)-1)*IF(OR(F594="L",F594="S",F594="I"),-1,1),"")</f>
        <v>0</v>
      </c>
      <c r="AM594" s="905">
        <f t="shared" si="56"/>
        <v>0</v>
      </c>
      <c r="AN594" s="905">
        <f>INDEX(G594:R594,1,MATCH(Parametres!$B$3,G$1:R$1,0))*IF(OR(F594="L",F594="S",F594="I"),-1,1)</f>
        <v>0</v>
      </c>
      <c r="AO594" s="487" t="str">
        <f>+VLOOKUP($AJ594,Data_Validation!$A:$D,1,0)</f>
        <v>G44600</v>
      </c>
      <c r="AP594" s="487" t="str">
        <f>+VLOOKUP($AJ594,Data_Validation!$A:$D,3,0)</f>
        <v>Véhicules usagés</v>
      </c>
      <c r="AQ594" s="487" t="str">
        <f>+VLOOKUP($AJ594,Data_Validation!$A:$D,4,0)</f>
        <v>Certifié</v>
      </c>
      <c r="AR594" s="487" t="s">
        <v>299</v>
      </c>
      <c r="AS594" s="487" t="str">
        <f>+VLOOKUP($AJ594,Data_Validation!$A:$E,5,0)</f>
        <v>Oui</v>
      </c>
      <c r="AT594" s="904" t="str">
        <f t="shared" si="57"/>
        <v>G44600</v>
      </c>
      <c r="AU594" s="488" t="str">
        <f t="shared" si="58"/>
        <v>VTES-AUTOS OCC. DET.OPT.</v>
      </c>
      <c r="AV594" s="899">
        <f>IFERROR(INDEX(V594:AG594,1,MATCH(Parametres!$B$3,V$1:AG$1,0)-1)*IF(OR(C594="L",C594="S",C594="I"),-1,1),"")</f>
        <v>0</v>
      </c>
      <c r="AW594" s="899">
        <f t="shared" si="59"/>
        <v>0</v>
      </c>
      <c r="AX594" s="899">
        <f>INDEX(V594:AG594,1,MATCH(Parametres!$B$3,V$1:AG$1,0))*IF(OR(C594="L",C594="S",C594="I"),-1,1)</f>
        <v>0</v>
      </c>
      <c r="AY594" s="487" t="s">
        <v>337</v>
      </c>
      <c r="AZ594" s="487" t="str">
        <f>+VLOOKUP($AJ594,Data_Validation!$A:$E,5,0)</f>
        <v>Oui</v>
      </c>
    </row>
    <row r="595" spans="1:52" ht="15" hidden="1" customHeight="1">
      <c r="A595" s="706" t="s">
        <v>1147</v>
      </c>
      <c r="B595" s="706">
        <v>2025</v>
      </c>
      <c r="C595" s="706" t="s">
        <v>2393</v>
      </c>
      <c r="D595" s="706" t="s">
        <v>2394</v>
      </c>
      <c r="E595" s="706" t="s">
        <v>1148</v>
      </c>
      <c r="F595" s="706" t="s">
        <v>1148</v>
      </c>
      <c r="G595" s="706">
        <v>55333</v>
      </c>
      <c r="H595" s="706">
        <v>275623</v>
      </c>
      <c r="I595" s="706">
        <v>388858</v>
      </c>
      <c r="J595" s="706">
        <v>521280.56</v>
      </c>
      <c r="K595" s="706">
        <v>561025.56000000006</v>
      </c>
      <c r="L595" s="706">
        <v>627980.51</v>
      </c>
      <c r="M595" s="706">
        <v>706072.51</v>
      </c>
      <c r="N595" s="706">
        <v>751570.51</v>
      </c>
      <c r="O595" s="706">
        <v>828568.51</v>
      </c>
      <c r="P595" s="706">
        <v>882403.92</v>
      </c>
      <c r="Q595" s="706">
        <v>882403.92</v>
      </c>
      <c r="R595" s="706">
        <v>882403.92</v>
      </c>
      <c r="S595" s="706">
        <v>80218.539999999994</v>
      </c>
      <c r="T595" s="706">
        <v>80218.539999999994</v>
      </c>
      <c r="U595" s="706">
        <v>0</v>
      </c>
      <c r="V595" s="706">
        <v>1</v>
      </c>
      <c r="W595" s="706">
        <v>4</v>
      </c>
      <c r="X595" s="706">
        <v>9</v>
      </c>
      <c r="Y595" s="706">
        <v>15</v>
      </c>
      <c r="Z595" s="706">
        <v>17</v>
      </c>
      <c r="AA595" s="706">
        <v>20</v>
      </c>
      <c r="AB595" s="706">
        <v>23</v>
      </c>
      <c r="AC595" s="706">
        <v>25</v>
      </c>
      <c r="AD595" s="706">
        <v>27</v>
      </c>
      <c r="AE595" s="706">
        <v>30</v>
      </c>
      <c r="AF595" s="706">
        <v>30</v>
      </c>
      <c r="AG595" s="706">
        <v>30</v>
      </c>
      <c r="AH595" s="706">
        <v>3</v>
      </c>
      <c r="AI595" s="706">
        <v>3</v>
      </c>
      <c r="AJ595" s="905" t="str">
        <f t="shared" ref="AJ595:AJ658" si="60">C595</f>
        <v>G44601</v>
      </c>
      <c r="AK595" s="905" t="str">
        <f t="shared" ref="AK595:AK658" si="61">D595</f>
        <v>VTES-VOIT.OCC.DET.AUTRE</v>
      </c>
      <c r="AL595" s="905">
        <f>IFERROR(INDEX(G595:R595,1,MATCH(Parametres!$B$3,G$1:R$1,0)-1)*IF(OR(F595="L",F595="S",F595="I"),-1,1),"")</f>
        <v>-882403.92</v>
      </c>
      <c r="AM595" s="905">
        <f t="shared" si="56"/>
        <v>0</v>
      </c>
      <c r="AN595" s="905">
        <f>INDEX(G595:R595,1,MATCH(Parametres!$B$3,G$1:R$1,0))*IF(OR(F595="L",F595="S",F595="I"),-1,1)</f>
        <v>-882403.92</v>
      </c>
      <c r="AO595" s="487" t="str">
        <f>+VLOOKUP($AJ595,Data_Validation!$A:$D,1,0)</f>
        <v>G44601</v>
      </c>
      <c r="AP595" s="487" t="str">
        <f>+VLOOKUP($AJ595,Data_Validation!$A:$D,3,0)</f>
        <v>Véhicules usagés</v>
      </c>
      <c r="AQ595" s="487" t="str">
        <f>+VLOOKUP($AJ595,Data_Validation!$A:$D,4,0)</f>
        <v>Non Certifié</v>
      </c>
      <c r="AR595" s="487" t="s">
        <v>299</v>
      </c>
      <c r="AS595" s="487" t="str">
        <f>+VLOOKUP($AJ595,Data_Validation!$A:$E,5,0)</f>
        <v>Oui</v>
      </c>
      <c r="AT595" s="904" t="str">
        <f t="shared" si="57"/>
        <v>G44601</v>
      </c>
      <c r="AU595" s="488" t="str">
        <f t="shared" si="58"/>
        <v>VTES-VOIT.OCC.DET.AUTRE</v>
      </c>
      <c r="AV595" s="899">
        <f>IFERROR(INDEX(V595:AG595,1,MATCH(Parametres!$B$3,V$1:AG$1,0)-1)*IF(OR(C595="L",C595="S",C595="I"),-1,1),"")</f>
        <v>30</v>
      </c>
      <c r="AW595" s="899">
        <f t="shared" si="59"/>
        <v>0</v>
      </c>
      <c r="AX595" s="899">
        <f>INDEX(V595:AG595,1,MATCH(Parametres!$B$3,V$1:AG$1,0))*IF(OR(C595="L",C595="S",C595="I"),-1,1)</f>
        <v>30</v>
      </c>
      <c r="AY595" s="487" t="s">
        <v>337</v>
      </c>
      <c r="AZ595" s="487" t="str">
        <f>+VLOOKUP($AJ595,Data_Validation!$A:$E,5,0)</f>
        <v>Oui</v>
      </c>
    </row>
    <row r="596" spans="1:52" ht="15" customHeight="1">
      <c r="A596" s="706" t="s">
        <v>1147</v>
      </c>
      <c r="B596" s="706">
        <v>2025</v>
      </c>
      <c r="C596" s="706" t="s">
        <v>2395</v>
      </c>
      <c r="D596" s="706" t="s">
        <v>2396</v>
      </c>
      <c r="E596" s="706" t="s">
        <v>1148</v>
      </c>
      <c r="F596" s="706" t="s">
        <v>1148</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G44620</v>
      </c>
      <c r="AK596" s="905" t="str">
        <f t="shared" si="61"/>
        <v>VTES-LOC AUTOS USAGE OPT.</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G44620</v>
      </c>
      <c r="AU596" s="488" t="str">
        <f t="shared" si="58"/>
        <v>VTES-LOC AUTOS USAGE OPT.</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customHeight="1">
      <c r="A597" s="706" t="s">
        <v>1147</v>
      </c>
      <c r="B597" s="706">
        <v>2025</v>
      </c>
      <c r="C597" s="706" t="s">
        <v>2397</v>
      </c>
      <c r="D597" s="706" t="s">
        <v>2398</v>
      </c>
      <c r="E597" s="706" t="s">
        <v>333</v>
      </c>
      <c r="F597" s="706" t="s">
        <v>1148</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G44700</v>
      </c>
      <c r="AK597" s="905" t="str">
        <f t="shared" si="61"/>
        <v>*REM.NEUF VOITURE DET.OPT</v>
      </c>
      <c r="AL597" s="905">
        <f>IFERROR(INDEX(G597:R597,1,MATCH(Parametres!$B$3,G$1:R$1,0)-1)*IF(OR(F597="L",F597="S",F597="I"),-1,1),"")</f>
        <v>0</v>
      </c>
      <c r="AM597" s="905">
        <f t="shared" si="56"/>
        <v>0</v>
      </c>
      <c r="AN597" s="905">
        <f>INDEX(G597:R597,1,MATCH(Parametres!$B$3,G$1:R$1,0))*IF(OR(F597="L",F597="S",F597="I"),-1,1)</f>
        <v>0</v>
      </c>
      <c r="AO597" s="487" t="str">
        <f>+VLOOKUP($AJ597,Data_Validation!$A:$D,1,0)</f>
        <v>G44700</v>
      </c>
      <c r="AP597" s="487">
        <f>+VLOOKUP($AJ597,Data_Validation!$A:$D,3,0)</f>
        <v>0</v>
      </c>
      <c r="AQ597" s="487">
        <f>+VLOOKUP($AJ597,Data_Validation!$A:$D,4,0)</f>
        <v>0</v>
      </c>
      <c r="AR597" s="487" t="s">
        <v>299</v>
      </c>
      <c r="AS597" s="487">
        <f>+VLOOKUP($AJ597,Data_Validation!$A:$E,5,0)</f>
        <v>0</v>
      </c>
      <c r="AT597" s="904" t="str">
        <f t="shared" si="57"/>
        <v>G44700</v>
      </c>
      <c r="AU597" s="488" t="str">
        <f t="shared" si="58"/>
        <v>*REM.NEUF VOITURE DET.OPT</v>
      </c>
      <c r="AV597" s="899">
        <f>IFERROR(INDEX(V597:AG597,1,MATCH(Parametres!$B$3,V$1:AG$1,0)-1)*IF(OR(C597="L",C597="S",C597="I"),-1,1),"")</f>
        <v>0</v>
      </c>
      <c r="AW597" s="899">
        <f t="shared" si="59"/>
        <v>0</v>
      </c>
      <c r="AX597" s="899">
        <f>INDEX(V597:AG597,1,MATCH(Parametres!$B$3,V$1:AG$1,0))*IF(OR(C597="L",C597="S",C597="I"),-1,1)</f>
        <v>0</v>
      </c>
      <c r="AY597" s="487" t="s">
        <v>337</v>
      </c>
      <c r="AZ597" s="487">
        <f>+VLOOKUP($AJ597,Data_Validation!$A:$E,5,0)</f>
        <v>0</v>
      </c>
    </row>
    <row r="598" spans="1:52" ht="15" customHeight="1">
      <c r="A598" s="706" t="s">
        <v>1147</v>
      </c>
      <c r="B598" s="706">
        <v>2025</v>
      </c>
      <c r="C598" s="706" t="s">
        <v>2399</v>
      </c>
      <c r="D598" s="706" t="s">
        <v>2400</v>
      </c>
      <c r="E598" s="706" t="s">
        <v>333</v>
      </c>
      <c r="F598" s="706" t="s">
        <v>1148</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G44701</v>
      </c>
      <c r="AK598" s="905" t="str">
        <f t="shared" si="61"/>
        <v>*REM.NEUF VOIT.DET.AUTRES</v>
      </c>
      <c r="AL598" s="905">
        <f>IFERROR(INDEX(G598:R598,1,MATCH(Parametres!$B$3,G$1:R$1,0)-1)*IF(OR(F598="L",F598="S",F598="I"),-1,1),"")</f>
        <v>0</v>
      </c>
      <c r="AM598" s="905">
        <f t="shared" si="56"/>
        <v>0</v>
      </c>
      <c r="AN598" s="905">
        <f>INDEX(G598:R598,1,MATCH(Parametres!$B$3,G$1:R$1,0))*IF(OR(F598="L",F598="S",F598="I"),-1,1)</f>
        <v>0</v>
      </c>
      <c r="AO598" s="487" t="str">
        <f>+VLOOKUP($AJ598,Data_Validation!$A:$D,1,0)</f>
        <v>G44701</v>
      </c>
      <c r="AP598" s="487">
        <f>+VLOOKUP($AJ598,Data_Validation!$A:$D,3,0)</f>
        <v>0</v>
      </c>
      <c r="AQ598" s="487">
        <f>+VLOOKUP($AJ598,Data_Validation!$A:$D,4,0)</f>
        <v>0</v>
      </c>
      <c r="AR598" s="487" t="s">
        <v>299</v>
      </c>
      <c r="AS598" s="487">
        <f>+VLOOKUP($AJ598,Data_Validation!$A:$E,5,0)</f>
        <v>0</v>
      </c>
      <c r="AT598" s="904" t="str">
        <f t="shared" si="57"/>
        <v>G44701</v>
      </c>
      <c r="AU598" s="488" t="str">
        <f t="shared" si="58"/>
        <v>*REM.NEUF VOIT.DET.AUTRES</v>
      </c>
      <c r="AV598" s="899">
        <f>IFERROR(INDEX(V598:AG598,1,MATCH(Parametres!$B$3,V$1:AG$1,0)-1)*IF(OR(C598="L",C598="S",C598="I"),-1,1),"")</f>
        <v>0</v>
      </c>
      <c r="AW598" s="899">
        <f t="shared" si="59"/>
        <v>0</v>
      </c>
      <c r="AX598" s="899">
        <f>INDEX(V598:AG598,1,MATCH(Parametres!$B$3,V$1:AG$1,0))*IF(OR(C598="L",C598="S",C598="I"),-1,1)</f>
        <v>0</v>
      </c>
      <c r="AY598" s="487" t="s">
        <v>337</v>
      </c>
      <c r="AZ598" s="487">
        <f>+VLOOKUP($AJ598,Data_Validation!$A:$E,5,0)</f>
        <v>0</v>
      </c>
    </row>
    <row r="599" spans="1:52" ht="15" customHeight="1">
      <c r="A599" s="706" t="s">
        <v>1147</v>
      </c>
      <c r="B599" s="706">
        <v>2025</v>
      </c>
      <c r="C599" s="706" t="s">
        <v>2401</v>
      </c>
      <c r="D599" s="706" t="s">
        <v>2402</v>
      </c>
      <c r="E599" s="706" t="s">
        <v>333</v>
      </c>
      <c r="F599" s="706" t="s">
        <v>1148</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G44720</v>
      </c>
      <c r="AK599" s="905" t="str">
        <f t="shared" si="61"/>
        <v>*REM.NEUF LOC.AUTO DET.OP</v>
      </c>
      <c r="AL599" s="905">
        <f>IFERROR(INDEX(G599:R599,1,MATCH(Parametres!$B$3,G$1:R$1,0)-1)*IF(OR(F599="L",F599="S",F599="I"),-1,1),"")</f>
        <v>0</v>
      </c>
      <c r="AM599" s="905">
        <f t="shared" si="56"/>
        <v>0</v>
      </c>
      <c r="AN599" s="905">
        <f>INDEX(G599:R599,1,MATCH(Parametres!$B$3,G$1:R$1,0))*IF(OR(F599="L",F599="S",F599="I"),-1,1)</f>
        <v>0</v>
      </c>
      <c r="AO599" s="487" t="str">
        <f>+VLOOKUP($AJ599,Data_Validation!$A:$D,1,0)</f>
        <v>G44720</v>
      </c>
      <c r="AP599" s="487">
        <f>+VLOOKUP($AJ599,Data_Validation!$A:$D,3,0)</f>
        <v>0</v>
      </c>
      <c r="AQ599" s="487">
        <f>+VLOOKUP($AJ599,Data_Validation!$A:$D,4,0)</f>
        <v>0</v>
      </c>
      <c r="AR599" s="487" t="s">
        <v>299</v>
      </c>
      <c r="AS599" s="487">
        <f>+VLOOKUP($AJ599,Data_Validation!$A:$E,5,0)</f>
        <v>0</v>
      </c>
      <c r="AT599" s="904" t="str">
        <f t="shared" si="57"/>
        <v>G44720</v>
      </c>
      <c r="AU599" s="488" t="str">
        <f t="shared" si="58"/>
        <v>*REM.NEUF LOC.AUTO DET.OP</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hidden="1" customHeight="1">
      <c r="A600" s="706" t="s">
        <v>1147</v>
      </c>
      <c r="B600" s="706">
        <v>2025</v>
      </c>
      <c r="C600" s="706" t="s">
        <v>2403</v>
      </c>
      <c r="D600" s="706" t="s">
        <v>2404</v>
      </c>
      <c r="E600" s="706" t="s">
        <v>1148</v>
      </c>
      <c r="F600" s="706" t="s">
        <v>1148</v>
      </c>
      <c r="G600" s="706">
        <v>49200</v>
      </c>
      <c r="H600" s="706">
        <v>82050</v>
      </c>
      <c r="I600" s="706">
        <v>287073.87</v>
      </c>
      <c r="J600" s="706">
        <v>592918.87</v>
      </c>
      <c r="K600" s="706">
        <v>839418.87</v>
      </c>
      <c r="L600" s="706">
        <v>890118.87</v>
      </c>
      <c r="M600" s="706">
        <v>908518.87</v>
      </c>
      <c r="N600" s="706">
        <v>970032.95</v>
      </c>
      <c r="O600" s="706">
        <v>1213708.3999999999</v>
      </c>
      <c r="P600" s="706">
        <v>1310328.3999999999</v>
      </c>
      <c r="Q600" s="706">
        <v>1362578.4</v>
      </c>
      <c r="R600" s="706">
        <v>1595315.9</v>
      </c>
      <c r="S600" s="706">
        <v>123870.76</v>
      </c>
      <c r="T600" s="706">
        <v>123870.76</v>
      </c>
      <c r="U600" s="706">
        <v>0</v>
      </c>
      <c r="V600" s="706">
        <v>3</v>
      </c>
      <c r="W600" s="706">
        <v>5</v>
      </c>
      <c r="X600" s="706">
        <v>11</v>
      </c>
      <c r="Y600" s="706">
        <v>24</v>
      </c>
      <c r="Z600" s="706">
        <v>39</v>
      </c>
      <c r="AA600" s="706">
        <v>45</v>
      </c>
      <c r="AB600" s="706">
        <v>47</v>
      </c>
      <c r="AC600" s="706">
        <v>50</v>
      </c>
      <c r="AD600" s="706">
        <v>68</v>
      </c>
      <c r="AE600" s="706">
        <v>78</v>
      </c>
      <c r="AF600" s="706">
        <v>82</v>
      </c>
      <c r="AG600" s="706">
        <v>90</v>
      </c>
      <c r="AH600" s="706">
        <v>7</v>
      </c>
      <c r="AI600" s="706">
        <v>7</v>
      </c>
      <c r="AJ600" s="905" t="str">
        <f t="shared" si="60"/>
        <v>G44800</v>
      </c>
      <c r="AK600" s="905" t="str">
        <f t="shared" si="61"/>
        <v>VTES-VOIT.OCC.EN GROS-DET</v>
      </c>
      <c r="AL600" s="905">
        <f>IFERROR(INDEX(G600:R600,1,MATCH(Parametres!$B$3,G$1:R$1,0)-1)*IF(OR(F600="L",F600="S",F600="I"),-1,1),"")</f>
        <v>-1362578.4</v>
      </c>
      <c r="AM600" s="905">
        <f t="shared" si="56"/>
        <v>-232737.5</v>
      </c>
      <c r="AN600" s="905">
        <f>INDEX(G600:R600,1,MATCH(Parametres!$B$3,G$1:R$1,0))*IF(OR(F600="L",F600="S",F600="I"),-1,1)</f>
        <v>-1595315.9</v>
      </c>
      <c r="AO600" s="487" t="str">
        <f>+VLOOKUP($AJ600,Data_Validation!$A:$D,1,0)</f>
        <v>G44800</v>
      </c>
      <c r="AP600" s="487" t="str">
        <f>+VLOOKUP($AJ600,Data_Validation!$A:$D,3,0)</f>
        <v>Véhicules usagés</v>
      </c>
      <c r="AQ600" s="487" t="str">
        <f>+VLOOKUP($AJ600,Data_Validation!$A:$D,4,0)</f>
        <v>Ventes au Gros</v>
      </c>
      <c r="AR600" s="487" t="s">
        <v>299</v>
      </c>
      <c r="AS600" s="487" t="str">
        <f>+VLOOKUP($AJ600,Data_Validation!$A:$E,5,0)</f>
        <v>Oui</v>
      </c>
      <c r="AT600" s="904" t="str">
        <f t="shared" si="57"/>
        <v>G44800</v>
      </c>
      <c r="AU600" s="488" t="str">
        <f t="shared" si="58"/>
        <v>VTES-VOIT.OCC.EN GROS-DET</v>
      </c>
      <c r="AV600" s="899">
        <f>IFERROR(INDEX(V600:AG600,1,MATCH(Parametres!$B$3,V$1:AG$1,0)-1)*IF(OR(C600="L",C600="S",C600="I"),-1,1),"")</f>
        <v>82</v>
      </c>
      <c r="AW600" s="899">
        <f t="shared" si="59"/>
        <v>8</v>
      </c>
      <c r="AX600" s="899">
        <f>INDEX(V600:AG600,1,MATCH(Parametres!$B$3,V$1:AG$1,0))*IF(OR(C600="L",C600="S",C600="I"),-1,1)</f>
        <v>90</v>
      </c>
      <c r="AY600" s="487" t="s">
        <v>337</v>
      </c>
      <c r="AZ600" s="487" t="str">
        <f>+VLOOKUP($AJ600,Data_Validation!$A:$E,5,0)</f>
        <v>Oui</v>
      </c>
    </row>
    <row r="601" spans="1:52" ht="15" customHeight="1">
      <c r="A601" s="706" t="s">
        <v>1147</v>
      </c>
      <c r="B601" s="706">
        <v>2025</v>
      </c>
      <c r="C601" s="706" t="s">
        <v>2405</v>
      </c>
      <c r="D601" s="706" t="s">
        <v>2406</v>
      </c>
      <c r="E601" s="706" t="s">
        <v>333</v>
      </c>
      <c r="F601" s="706" t="s">
        <v>1148</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G44900</v>
      </c>
      <c r="AK601" s="905" t="str">
        <f t="shared" si="61"/>
        <v>*RECTIFICATION STOCK AUTO</v>
      </c>
      <c r="AL601" s="905">
        <f>IFERROR(INDEX(G601:R601,1,MATCH(Parametres!$B$3,G$1:R$1,0)-1)*IF(OR(F601="L",F601="S",F601="I"),-1,1),"")</f>
        <v>0</v>
      </c>
      <c r="AM601" s="905">
        <f t="shared" si="56"/>
        <v>0</v>
      </c>
      <c r="AN601" s="905">
        <f>INDEX(G601:R601,1,MATCH(Parametres!$B$3,G$1:R$1,0))*IF(OR(F601="L",F601="S",F601="I"),-1,1)</f>
        <v>0</v>
      </c>
      <c r="AO601" s="487" t="str">
        <f>+VLOOKUP($AJ601,Data_Validation!$A:$D,1,0)</f>
        <v>G44900</v>
      </c>
      <c r="AP601" s="487">
        <f>+VLOOKUP($AJ601,Data_Validation!$A:$D,3,0)</f>
        <v>0</v>
      </c>
      <c r="AQ601" s="487">
        <f>+VLOOKUP($AJ601,Data_Validation!$A:$D,4,0)</f>
        <v>0</v>
      </c>
      <c r="AR601" s="487" t="s">
        <v>299</v>
      </c>
      <c r="AS601" s="487">
        <f>+VLOOKUP($AJ601,Data_Validation!$A:$E,5,0)</f>
        <v>0</v>
      </c>
      <c r="AT601" s="904" t="str">
        <f t="shared" si="57"/>
        <v>G44900</v>
      </c>
      <c r="AU601" s="488" t="str">
        <f t="shared" si="58"/>
        <v>*RECTIFICATION STOCK AUTO</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1147</v>
      </c>
      <c r="B602" s="706">
        <v>2025</v>
      </c>
      <c r="C602" s="706" t="s">
        <v>2407</v>
      </c>
      <c r="D602" s="706" t="s">
        <v>2408</v>
      </c>
      <c r="E602" s="706" t="s">
        <v>1148</v>
      </c>
      <c r="F602" s="706" t="s">
        <v>1148</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G45000</v>
      </c>
      <c r="AK602" s="905" t="str">
        <f t="shared" si="61"/>
        <v>VTES-OCC.DETAIL    *WSALE</v>
      </c>
      <c r="AL602" s="905">
        <f>IFERROR(INDEX(G602:R602,1,MATCH(Parametres!$B$3,G$1:R$1,0)-1)*IF(OR(F602="L",F602="S",F602="I"),-1,1),"")</f>
        <v>0</v>
      </c>
      <c r="AM602" s="905">
        <f t="shared" si="56"/>
        <v>0</v>
      </c>
      <c r="AN602" s="905">
        <f>INDEX(G602:R602,1,MATCH(Parametres!$B$3,G$1:R$1,0))*IF(OR(F602="L",F602="S",F602="I"),-1,1)</f>
        <v>0</v>
      </c>
      <c r="AO602" s="487" t="str">
        <f>+VLOOKUP($AJ602,Data_Validation!$A:$D,1,0)</f>
        <v>G45000</v>
      </c>
      <c r="AP602" s="487" t="str">
        <f>+VLOOKUP($AJ602,Data_Validation!$A:$D,3,0)</f>
        <v>Véhicules usagés</v>
      </c>
      <c r="AQ602" s="487" t="str">
        <f>+VLOOKUP($AJ602,Data_Validation!$A:$D,4,0)</f>
        <v>Ventes au Gros</v>
      </c>
      <c r="AR602" s="487" t="s">
        <v>299</v>
      </c>
      <c r="AS602" s="487" t="str">
        <f>+VLOOKUP($AJ602,Data_Validation!$A:$E,5,0)</f>
        <v>Oui</v>
      </c>
      <c r="AT602" s="904" t="str">
        <f t="shared" si="57"/>
        <v>G45000</v>
      </c>
      <c r="AU602" s="488" t="str">
        <f t="shared" si="58"/>
        <v>VTES-OCC.DETAIL    *WSALE</v>
      </c>
      <c r="AV602" s="899">
        <f>IFERROR(INDEX(V602:AG602,1,MATCH(Parametres!$B$3,V$1:AG$1,0)-1)*IF(OR(C602="L",C602="S",C602="I"),-1,1),"")</f>
        <v>0</v>
      </c>
      <c r="AW602" s="899">
        <f t="shared" si="59"/>
        <v>0</v>
      </c>
      <c r="AX602" s="899">
        <f>INDEX(V602:AG602,1,MATCH(Parametres!$B$3,V$1:AG$1,0))*IF(OR(C602="L",C602="S",C602="I"),-1,1)</f>
        <v>0</v>
      </c>
      <c r="AY602" s="487" t="s">
        <v>337</v>
      </c>
      <c r="AZ602" s="487" t="str">
        <f>+VLOOKUP($AJ602,Data_Validation!$A:$E,5,0)</f>
        <v>Oui</v>
      </c>
    </row>
    <row r="603" spans="1:52" ht="15" hidden="1" customHeight="1">
      <c r="A603" s="706" t="s">
        <v>1147</v>
      </c>
      <c r="B603" s="706">
        <v>2025</v>
      </c>
      <c r="C603" s="706" t="s">
        <v>2409</v>
      </c>
      <c r="D603" s="706" t="s">
        <v>2410</v>
      </c>
      <c r="E603" s="706" t="s">
        <v>1148</v>
      </c>
      <c r="F603" s="706" t="s">
        <v>1148</v>
      </c>
      <c r="G603" s="706">
        <v>0</v>
      </c>
      <c r="H603" s="706">
        <v>25495</v>
      </c>
      <c r="I603" s="706">
        <v>207565</v>
      </c>
      <c r="J603" s="706">
        <v>286222.71000000002</v>
      </c>
      <c r="K603" s="706">
        <v>509648.11</v>
      </c>
      <c r="L603" s="706">
        <v>577517.32999999996</v>
      </c>
      <c r="M603" s="706">
        <v>862333.33</v>
      </c>
      <c r="N603" s="706">
        <v>1302803.21</v>
      </c>
      <c r="O603" s="706">
        <v>1746372.18</v>
      </c>
      <c r="P603" s="706">
        <v>2620592.94</v>
      </c>
      <c r="Q603" s="706">
        <v>2904450.42</v>
      </c>
      <c r="R603" s="706">
        <v>3458182.71</v>
      </c>
      <c r="S603" s="706">
        <v>264040.95</v>
      </c>
      <c r="T603" s="706">
        <v>264040.95</v>
      </c>
      <c r="U603" s="706">
        <v>0</v>
      </c>
      <c r="V603" s="706">
        <v>0</v>
      </c>
      <c r="W603" s="706">
        <v>1</v>
      </c>
      <c r="X603" s="706">
        <v>7</v>
      </c>
      <c r="Y603" s="706">
        <v>10</v>
      </c>
      <c r="Z603" s="706">
        <v>19</v>
      </c>
      <c r="AA603" s="706">
        <v>21</v>
      </c>
      <c r="AB603" s="706">
        <v>30</v>
      </c>
      <c r="AC603" s="706">
        <v>44</v>
      </c>
      <c r="AD603" s="706">
        <v>56</v>
      </c>
      <c r="AE603" s="706">
        <v>79</v>
      </c>
      <c r="AF603" s="706">
        <v>85</v>
      </c>
      <c r="AG603" s="706">
        <v>100</v>
      </c>
      <c r="AH603" s="706">
        <v>8</v>
      </c>
      <c r="AI603" s="706">
        <v>8</v>
      </c>
      <c r="AJ603" s="905" t="str">
        <f t="shared" si="60"/>
        <v>G45001</v>
      </c>
      <c r="AK603" s="905" t="str">
        <f t="shared" si="61"/>
        <v>VTES-CAM OCC. DET. AUTRES</v>
      </c>
      <c r="AL603" s="905">
        <f>IFERROR(INDEX(G603:R603,1,MATCH(Parametres!$B$3,G$1:R$1,0)-1)*IF(OR(F603="L",F603="S",F603="I"),-1,1),"")</f>
        <v>-2904450.42</v>
      </c>
      <c r="AM603" s="905">
        <f t="shared" si="56"/>
        <v>-553732.29</v>
      </c>
      <c r="AN603" s="905">
        <f>INDEX(G603:R603,1,MATCH(Parametres!$B$3,G$1:R$1,0))*IF(OR(F603="L",F603="S",F603="I"),-1,1)</f>
        <v>-3458182.71</v>
      </c>
      <c r="AO603" s="487" t="str">
        <f>+VLOOKUP($AJ603,Data_Validation!$A:$D,1,0)</f>
        <v>G45001</v>
      </c>
      <c r="AP603" s="487" t="str">
        <f>+VLOOKUP($AJ603,Data_Validation!$A:$D,3,0)</f>
        <v>Véhicules usagés</v>
      </c>
      <c r="AQ603" s="487" t="str">
        <f>+VLOOKUP($AJ603,Data_Validation!$A:$D,4,0)</f>
        <v>Non Certifié</v>
      </c>
      <c r="AR603" s="487" t="s">
        <v>299</v>
      </c>
      <c r="AS603" s="487" t="str">
        <f>+VLOOKUP($AJ603,Data_Validation!$A:$E,5,0)</f>
        <v>Oui</v>
      </c>
      <c r="AT603" s="904" t="str">
        <f t="shared" si="57"/>
        <v>G45001</v>
      </c>
      <c r="AU603" s="488" t="str">
        <f t="shared" si="58"/>
        <v>VTES-CAM OCC. DET. AUTRES</v>
      </c>
      <c r="AV603" s="899">
        <f>IFERROR(INDEX(V603:AG603,1,MATCH(Parametres!$B$3,V$1:AG$1,0)-1)*IF(OR(C603="L",C603="S",C603="I"),-1,1),"")</f>
        <v>85</v>
      </c>
      <c r="AW603" s="899">
        <f t="shared" si="59"/>
        <v>15</v>
      </c>
      <c r="AX603" s="899">
        <f>INDEX(V603:AG603,1,MATCH(Parametres!$B$3,V$1:AG$1,0))*IF(OR(C603="L",C603="S",C603="I"),-1,1)</f>
        <v>100</v>
      </c>
      <c r="AY603" s="487" t="s">
        <v>337</v>
      </c>
      <c r="AZ603" s="487" t="str">
        <f>+VLOOKUP($AJ603,Data_Validation!$A:$E,5,0)</f>
        <v>Oui</v>
      </c>
    </row>
    <row r="604" spans="1:52" ht="15" customHeight="1">
      <c r="A604" s="706" t="s">
        <v>1147</v>
      </c>
      <c r="B604" s="706">
        <v>2025</v>
      </c>
      <c r="C604" s="706" t="s">
        <v>2411</v>
      </c>
      <c r="D604" s="706" t="s">
        <v>2412</v>
      </c>
      <c r="E604" s="706" t="s">
        <v>1148</v>
      </c>
      <c r="F604" s="706" t="s">
        <v>1148</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G45020</v>
      </c>
      <c r="AK604" s="905" t="str">
        <f t="shared" si="61"/>
        <v>VTES-CAM USAGE OPT. -LOC.</v>
      </c>
      <c r="AL604" s="905">
        <f>IFERROR(INDEX(G604:R604,1,MATCH(Parametres!$B$3,G$1:R$1,0)-1)*IF(OR(F604="L",F604="S",F604="I"),-1,1),"")</f>
        <v>0</v>
      </c>
      <c r="AM604" s="905">
        <f t="shared" si="56"/>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t="str">
        <f t="shared" si="57"/>
        <v>G45020</v>
      </c>
      <c r="AU604" s="488" t="str">
        <f t="shared" si="58"/>
        <v>VTES-CAM USAGE OPT. -LOC.</v>
      </c>
      <c r="AV604" s="899">
        <f>IFERROR(INDEX(V604:AG604,1,MATCH(Parametres!$B$3,V$1:AG$1,0)-1)*IF(OR(C604="L",C604="S",C604="I"),-1,1),"")</f>
        <v>0</v>
      </c>
      <c r="AW604" s="899">
        <f t="shared" si="59"/>
        <v>0</v>
      </c>
      <c r="AX604" s="899">
        <f>INDEX(V604:AG604,1,MATCH(Parametres!$B$3,V$1:AG$1,0))*IF(OR(C604="L",C604="S",C604="I"),-1,1)</f>
        <v>0</v>
      </c>
      <c r="AY604" s="487" t="s">
        <v>337</v>
      </c>
      <c r="AZ604" s="487" t="e">
        <f>+VLOOKUP($AJ604,Data_Validation!$A:$E,5,0)</f>
        <v>#N/A</v>
      </c>
    </row>
    <row r="605" spans="1:52" ht="15" customHeight="1">
      <c r="A605" s="706" t="s">
        <v>1147</v>
      </c>
      <c r="B605" s="706">
        <v>2025</v>
      </c>
      <c r="C605" s="706" t="s">
        <v>2413</v>
      </c>
      <c r="D605" s="706" t="s">
        <v>2414</v>
      </c>
      <c r="E605" s="706" t="s">
        <v>333</v>
      </c>
      <c r="F605" s="706" t="s">
        <v>1148</v>
      </c>
      <c r="G605" s="706">
        <v>0</v>
      </c>
      <c r="H605" s="706">
        <v>0</v>
      </c>
      <c r="I605" s="706">
        <v>0</v>
      </c>
      <c r="J605" s="706">
        <v>0</v>
      </c>
      <c r="K605" s="706">
        <v>0</v>
      </c>
      <c r="L605" s="706">
        <v>0</v>
      </c>
      <c r="M605" s="706">
        <v>0</v>
      </c>
      <c r="N605" s="706">
        <v>0</v>
      </c>
      <c r="O605" s="706">
        <v>0</v>
      </c>
      <c r="P605" s="706">
        <v>0</v>
      </c>
      <c r="Q605" s="706">
        <v>0</v>
      </c>
      <c r="R605" s="706">
        <v>0</v>
      </c>
      <c r="S605" s="706">
        <v>0</v>
      </c>
      <c r="T605" s="706">
        <v>0</v>
      </c>
      <c r="U605" s="706">
        <v>0</v>
      </c>
      <c r="V605" s="706">
        <v>0</v>
      </c>
      <c r="W605" s="706">
        <v>0</v>
      </c>
      <c r="X605" s="706">
        <v>0</v>
      </c>
      <c r="Y605" s="706">
        <v>0</v>
      </c>
      <c r="Z605" s="706">
        <v>0</v>
      </c>
      <c r="AA605" s="706">
        <v>0</v>
      </c>
      <c r="AB605" s="706">
        <v>0</v>
      </c>
      <c r="AC605" s="706">
        <v>0</v>
      </c>
      <c r="AD605" s="706">
        <v>0</v>
      </c>
      <c r="AE605" s="706">
        <v>0</v>
      </c>
      <c r="AF605" s="706">
        <v>0</v>
      </c>
      <c r="AG605" s="706">
        <v>0</v>
      </c>
      <c r="AH605" s="706">
        <v>0</v>
      </c>
      <c r="AI605" s="706">
        <v>0</v>
      </c>
      <c r="AJ605" s="905" t="str">
        <f t="shared" si="60"/>
        <v>G45100</v>
      </c>
      <c r="AK605" s="905" t="str">
        <f t="shared" si="61"/>
        <v>*REM.NEUF CAM DET. OPT.</v>
      </c>
      <c r="AL605" s="905">
        <f>IFERROR(INDEX(G605:R605,1,MATCH(Parametres!$B$3,G$1:R$1,0)-1)*IF(OR(F605="L",F605="S",F605="I"),-1,1),"")</f>
        <v>0</v>
      </c>
      <c r="AM605" s="905">
        <f t="shared" si="56"/>
        <v>0</v>
      </c>
      <c r="AN605" s="905">
        <f>INDEX(G605:R605,1,MATCH(Parametres!$B$3,G$1:R$1,0))*IF(OR(F605="L",F605="S",F605="I"),-1,1)</f>
        <v>0</v>
      </c>
      <c r="AO605" s="487" t="str">
        <f>+VLOOKUP($AJ605,Data_Validation!$A:$D,1,0)</f>
        <v>G45100</v>
      </c>
      <c r="AP605" s="487">
        <f>+VLOOKUP($AJ605,Data_Validation!$A:$D,3,0)</f>
        <v>0</v>
      </c>
      <c r="AQ605" s="487">
        <f>+VLOOKUP($AJ605,Data_Validation!$A:$D,4,0)</f>
        <v>0</v>
      </c>
      <c r="AR605" s="487" t="s">
        <v>299</v>
      </c>
      <c r="AS605" s="487">
        <f>+VLOOKUP($AJ605,Data_Validation!$A:$E,5,0)</f>
        <v>0</v>
      </c>
      <c r="AT605" s="904" t="str">
        <f t="shared" si="57"/>
        <v>G45100</v>
      </c>
      <c r="AU605" s="488" t="str">
        <f t="shared" si="58"/>
        <v>*REM.NEUF CAM DET. OPT.</v>
      </c>
      <c r="AV605" s="899">
        <f>IFERROR(INDEX(V605:AG605,1,MATCH(Parametres!$B$3,V$1:AG$1,0)-1)*IF(OR(C605="L",C605="S",C605="I"),-1,1),"")</f>
        <v>0</v>
      </c>
      <c r="AW605" s="899">
        <f t="shared" si="59"/>
        <v>0</v>
      </c>
      <c r="AX605" s="899">
        <f>INDEX(V605:AG605,1,MATCH(Parametres!$B$3,V$1:AG$1,0))*IF(OR(C605="L",C605="S",C605="I"),-1,1)</f>
        <v>0</v>
      </c>
      <c r="AY605" s="487" t="s">
        <v>337</v>
      </c>
      <c r="AZ605" s="487">
        <f>+VLOOKUP($AJ605,Data_Validation!$A:$E,5,0)</f>
        <v>0</v>
      </c>
    </row>
    <row r="606" spans="1:52" ht="15" customHeight="1">
      <c r="A606" s="706" t="s">
        <v>1147</v>
      </c>
      <c r="B606" s="706">
        <v>2025</v>
      </c>
      <c r="C606" s="706" t="s">
        <v>2415</v>
      </c>
      <c r="D606" s="706" t="s">
        <v>2416</v>
      </c>
      <c r="E606" s="706" t="s">
        <v>333</v>
      </c>
      <c r="F606" s="706" t="s">
        <v>1148</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G45101</v>
      </c>
      <c r="AK606" s="905" t="str">
        <f t="shared" si="61"/>
        <v>*REM.NEUF CAM DET.AUTRES</v>
      </c>
      <c r="AL606" s="905">
        <f>IFERROR(INDEX(G606:R606,1,MATCH(Parametres!$B$3,G$1:R$1,0)-1)*IF(OR(F606="L",F606="S",F606="I"),-1,1),"")</f>
        <v>0</v>
      </c>
      <c r="AM606" s="905">
        <f t="shared" si="56"/>
        <v>0</v>
      </c>
      <c r="AN606" s="905">
        <f>INDEX(G606:R606,1,MATCH(Parametres!$B$3,G$1:R$1,0))*IF(OR(F606="L",F606="S",F606="I"),-1,1)</f>
        <v>0</v>
      </c>
      <c r="AO606" s="487" t="str">
        <f>+VLOOKUP($AJ606,Data_Validation!$A:$D,1,0)</f>
        <v>G45101</v>
      </c>
      <c r="AP606" s="487">
        <f>+VLOOKUP($AJ606,Data_Validation!$A:$D,3,0)</f>
        <v>0</v>
      </c>
      <c r="AQ606" s="487">
        <f>+VLOOKUP($AJ606,Data_Validation!$A:$D,4,0)</f>
        <v>0</v>
      </c>
      <c r="AR606" s="487" t="s">
        <v>299</v>
      </c>
      <c r="AS606" s="487">
        <f>+VLOOKUP($AJ606,Data_Validation!$A:$E,5,0)</f>
        <v>0</v>
      </c>
      <c r="AT606" s="904" t="str">
        <f t="shared" si="57"/>
        <v>G45101</v>
      </c>
      <c r="AU606" s="488" t="str">
        <f t="shared" si="58"/>
        <v>*REM.NEUF CAM DET.AUTRES</v>
      </c>
      <c r="AV606" s="899">
        <f>IFERROR(INDEX(V606:AG606,1,MATCH(Parametres!$B$3,V$1:AG$1,0)-1)*IF(OR(C606="L",C606="S",C606="I"),-1,1),"")</f>
        <v>0</v>
      </c>
      <c r="AW606" s="899">
        <f t="shared" si="59"/>
        <v>0</v>
      </c>
      <c r="AX606" s="899">
        <f>INDEX(V606:AG606,1,MATCH(Parametres!$B$3,V$1:AG$1,0))*IF(OR(C606="L",C606="S",C606="I"),-1,1)</f>
        <v>0</v>
      </c>
      <c r="AY606" s="487" t="s">
        <v>337</v>
      </c>
      <c r="AZ606" s="487">
        <f>+VLOOKUP($AJ606,Data_Validation!$A:$E,5,0)</f>
        <v>0</v>
      </c>
    </row>
    <row r="607" spans="1:52" ht="15" customHeight="1">
      <c r="A607" s="706" t="s">
        <v>1147</v>
      </c>
      <c r="B607" s="706">
        <v>2025</v>
      </c>
      <c r="C607" s="706" t="s">
        <v>2417</v>
      </c>
      <c r="D607" s="706" t="s">
        <v>2418</v>
      </c>
      <c r="E607" s="706" t="s">
        <v>333</v>
      </c>
      <c r="F607" s="706" t="s">
        <v>1148</v>
      </c>
      <c r="G607" s="706">
        <v>0</v>
      </c>
      <c r="H607" s="706">
        <v>0</v>
      </c>
      <c r="I607" s="706">
        <v>0</v>
      </c>
      <c r="J607" s="706">
        <v>0</v>
      </c>
      <c r="K607" s="706">
        <v>0</v>
      </c>
      <c r="L607" s="706">
        <v>0</v>
      </c>
      <c r="M607" s="706">
        <v>0</v>
      </c>
      <c r="N607" s="706">
        <v>0</v>
      </c>
      <c r="O607" s="706">
        <v>0</v>
      </c>
      <c r="P607" s="706">
        <v>0</v>
      </c>
      <c r="Q607" s="706">
        <v>0</v>
      </c>
      <c r="R607" s="706">
        <v>0</v>
      </c>
      <c r="S607" s="706">
        <v>0</v>
      </c>
      <c r="T607" s="706">
        <v>0</v>
      </c>
      <c r="U607" s="706">
        <v>0</v>
      </c>
      <c r="V607" s="706">
        <v>0</v>
      </c>
      <c r="W607" s="706">
        <v>0</v>
      </c>
      <c r="X607" s="706">
        <v>0</v>
      </c>
      <c r="Y607" s="706">
        <v>0</v>
      </c>
      <c r="Z607" s="706">
        <v>0</v>
      </c>
      <c r="AA607" s="706">
        <v>0</v>
      </c>
      <c r="AB607" s="706">
        <v>0</v>
      </c>
      <c r="AC607" s="706">
        <v>0</v>
      </c>
      <c r="AD607" s="706">
        <v>0</v>
      </c>
      <c r="AE607" s="706">
        <v>0</v>
      </c>
      <c r="AF607" s="706">
        <v>0</v>
      </c>
      <c r="AG607" s="706">
        <v>0</v>
      </c>
      <c r="AH607" s="706">
        <v>0</v>
      </c>
      <c r="AI607" s="706">
        <v>0</v>
      </c>
      <c r="AJ607" s="905" t="str">
        <f t="shared" si="60"/>
        <v>G45120</v>
      </c>
      <c r="AK607" s="905" t="str">
        <f t="shared" si="61"/>
        <v>*REM.NEUF LOC.CAM.DET.OPT</v>
      </c>
      <c r="AL607" s="905">
        <f>IFERROR(INDEX(G607:R607,1,MATCH(Parametres!$B$3,G$1:R$1,0)-1)*IF(OR(F607="L",F607="S",F607="I"),-1,1),"")</f>
        <v>0</v>
      </c>
      <c r="AM607" s="905">
        <f t="shared" si="56"/>
        <v>0</v>
      </c>
      <c r="AN607" s="905">
        <f>INDEX(G607:R607,1,MATCH(Parametres!$B$3,G$1:R$1,0))*IF(OR(F607="L",F607="S",F607="I"),-1,1)</f>
        <v>0</v>
      </c>
      <c r="AO607" s="487" t="str">
        <f>+VLOOKUP($AJ607,Data_Validation!$A:$D,1,0)</f>
        <v>G45120</v>
      </c>
      <c r="AP607" s="487">
        <f>+VLOOKUP($AJ607,Data_Validation!$A:$D,3,0)</f>
        <v>0</v>
      </c>
      <c r="AQ607" s="487">
        <f>+VLOOKUP($AJ607,Data_Validation!$A:$D,4,0)</f>
        <v>0</v>
      </c>
      <c r="AR607" s="487" t="s">
        <v>299</v>
      </c>
      <c r="AS607" s="487">
        <f>+VLOOKUP($AJ607,Data_Validation!$A:$E,5,0)</f>
        <v>0</v>
      </c>
      <c r="AT607" s="904" t="str">
        <f t="shared" si="57"/>
        <v>G45120</v>
      </c>
      <c r="AU607" s="488" t="str">
        <f t="shared" si="58"/>
        <v>*REM.NEUF LOC.CAM.DET.OPT</v>
      </c>
      <c r="AV607" s="899">
        <f>IFERROR(INDEX(V607:AG607,1,MATCH(Parametres!$B$3,V$1:AG$1,0)-1)*IF(OR(C607="L",C607="S",C607="I"),-1,1),"")</f>
        <v>0</v>
      </c>
      <c r="AW607" s="899">
        <f t="shared" si="59"/>
        <v>0</v>
      </c>
      <c r="AX607" s="899">
        <f>INDEX(V607:AG607,1,MATCH(Parametres!$B$3,V$1:AG$1,0))*IF(OR(C607="L",C607="S",C607="I"),-1,1)</f>
        <v>0</v>
      </c>
      <c r="AY607" s="487" t="s">
        <v>337</v>
      </c>
      <c r="AZ607" s="487">
        <f>+VLOOKUP($AJ607,Data_Validation!$A:$E,5,0)</f>
        <v>0</v>
      </c>
    </row>
    <row r="608" spans="1:52" ht="15" hidden="1" customHeight="1">
      <c r="A608" s="706" t="s">
        <v>1147</v>
      </c>
      <c r="B608" s="706">
        <v>2025</v>
      </c>
      <c r="C608" s="706" t="s">
        <v>2419</v>
      </c>
      <c r="D608" s="706" t="s">
        <v>2420</v>
      </c>
      <c r="E608" s="706" t="s">
        <v>1148</v>
      </c>
      <c r="F608" s="706" t="s">
        <v>1148</v>
      </c>
      <c r="G608" s="706">
        <v>731165.38</v>
      </c>
      <c r="H608" s="706">
        <v>1912853.59</v>
      </c>
      <c r="I608" s="706">
        <v>3545992</v>
      </c>
      <c r="J608" s="706">
        <v>5532448.5499999998</v>
      </c>
      <c r="K608" s="706">
        <v>8521104.5500000007</v>
      </c>
      <c r="L608" s="706">
        <v>12173358.07</v>
      </c>
      <c r="M608" s="706">
        <v>13829342.83</v>
      </c>
      <c r="N608" s="706">
        <v>16835152.829999998</v>
      </c>
      <c r="O608" s="706">
        <v>18842344.16</v>
      </c>
      <c r="P608" s="706">
        <v>19898759.170000002</v>
      </c>
      <c r="Q608" s="706">
        <v>21152482.550000001</v>
      </c>
      <c r="R608" s="706">
        <v>21960748.949999999</v>
      </c>
      <c r="S608" s="706">
        <v>1922952.96</v>
      </c>
      <c r="T608" s="706">
        <v>1922952.96</v>
      </c>
      <c r="U608" s="706">
        <v>0</v>
      </c>
      <c r="V608" s="706">
        <v>18</v>
      </c>
      <c r="W608" s="706">
        <v>55</v>
      </c>
      <c r="X608" s="706">
        <v>97</v>
      </c>
      <c r="Y608" s="706">
        <v>160</v>
      </c>
      <c r="Z608" s="706">
        <v>232</v>
      </c>
      <c r="AA608" s="706">
        <v>305</v>
      </c>
      <c r="AB608" s="706">
        <v>350</v>
      </c>
      <c r="AC608" s="706">
        <v>429</v>
      </c>
      <c r="AD608" s="706">
        <v>476</v>
      </c>
      <c r="AE608" s="706">
        <v>510</v>
      </c>
      <c r="AF608" s="706">
        <v>543</v>
      </c>
      <c r="AG608" s="706">
        <v>564</v>
      </c>
      <c r="AH608" s="706">
        <v>49</v>
      </c>
      <c r="AI608" s="706">
        <v>49</v>
      </c>
      <c r="AJ608" s="905" t="str">
        <f t="shared" si="60"/>
        <v>G45200</v>
      </c>
      <c r="AK608" s="905" t="str">
        <f t="shared" si="61"/>
        <v>VTES-CAMIONS OCC EN GROS</v>
      </c>
      <c r="AL608" s="905">
        <f>IFERROR(INDEX(G608:R608,1,MATCH(Parametres!$B$3,G$1:R$1,0)-1)*IF(OR(F608="L",F608="S",F608="I"),-1,1),"")</f>
        <v>-21152482.550000001</v>
      </c>
      <c r="AM608" s="905">
        <f t="shared" si="56"/>
        <v>-808266.39999999851</v>
      </c>
      <c r="AN608" s="905">
        <f>INDEX(G608:R608,1,MATCH(Parametres!$B$3,G$1:R$1,0))*IF(OR(F608="L",F608="S",F608="I"),-1,1)</f>
        <v>-21960748.949999999</v>
      </c>
      <c r="AO608" s="487" t="str">
        <f>+VLOOKUP($AJ608,Data_Validation!$A:$D,1,0)</f>
        <v>G45200</v>
      </c>
      <c r="AP608" s="487" t="str">
        <f>+VLOOKUP($AJ608,Data_Validation!$A:$D,3,0)</f>
        <v>Véhicules usagés</v>
      </c>
      <c r="AQ608" s="487" t="str">
        <f>+VLOOKUP($AJ608,Data_Validation!$A:$D,4,0)</f>
        <v>Ventes au Gros</v>
      </c>
      <c r="AR608" s="487" t="s">
        <v>299</v>
      </c>
      <c r="AS608" s="487" t="str">
        <f>+VLOOKUP($AJ608,Data_Validation!$A:$E,5,0)</f>
        <v>Oui</v>
      </c>
      <c r="AT608" s="904" t="str">
        <f t="shared" si="57"/>
        <v>G45200</v>
      </c>
      <c r="AU608" s="488" t="str">
        <f t="shared" si="58"/>
        <v>VTES-CAMIONS OCC EN GROS</v>
      </c>
      <c r="AV608" s="899">
        <f>IFERROR(INDEX(V608:AG608,1,MATCH(Parametres!$B$3,V$1:AG$1,0)-1)*IF(OR(C608="L",C608="S",C608="I"),-1,1),"")</f>
        <v>543</v>
      </c>
      <c r="AW608" s="899">
        <f t="shared" si="59"/>
        <v>21</v>
      </c>
      <c r="AX608" s="899">
        <f>INDEX(V608:AG608,1,MATCH(Parametres!$B$3,V$1:AG$1,0))*IF(OR(C608="L",C608="S",C608="I"),-1,1)</f>
        <v>564</v>
      </c>
      <c r="AY608" s="487" t="s">
        <v>337</v>
      </c>
      <c r="AZ608" s="487" t="str">
        <f>+VLOOKUP($AJ608,Data_Validation!$A:$E,5,0)</f>
        <v>Oui</v>
      </c>
    </row>
    <row r="609" spans="1:52" ht="15" hidden="1" customHeight="1">
      <c r="A609" s="706" t="s">
        <v>1147</v>
      </c>
      <c r="B609" s="706">
        <v>2025</v>
      </c>
      <c r="C609" s="706" t="s">
        <v>2421</v>
      </c>
      <c r="D609" s="706" t="s">
        <v>2422</v>
      </c>
      <c r="E609" s="706" t="s">
        <v>1148</v>
      </c>
      <c r="F609" s="706" t="s">
        <v>1148</v>
      </c>
      <c r="G609" s="706">
        <v>1849650</v>
      </c>
      <c r="H609" s="706">
        <v>4653500</v>
      </c>
      <c r="I609" s="706">
        <v>8791900</v>
      </c>
      <c r="J609" s="706">
        <v>11860870</v>
      </c>
      <c r="K609" s="706">
        <v>12815770</v>
      </c>
      <c r="L609" s="706">
        <v>14241170</v>
      </c>
      <c r="M609" s="706">
        <v>16376870</v>
      </c>
      <c r="N609" s="706">
        <v>20376770</v>
      </c>
      <c r="O609" s="706">
        <v>23673770</v>
      </c>
      <c r="P609" s="706">
        <v>27202870</v>
      </c>
      <c r="Q609" s="706">
        <v>36816720</v>
      </c>
      <c r="R609" s="706">
        <v>44877520</v>
      </c>
      <c r="S609" s="706">
        <v>3346974.55</v>
      </c>
      <c r="T609" s="706">
        <v>3346974.55</v>
      </c>
      <c r="U609" s="706">
        <v>0</v>
      </c>
      <c r="V609" s="706">
        <v>20</v>
      </c>
      <c r="W609" s="706">
        <v>47</v>
      </c>
      <c r="X609" s="706">
        <v>83</v>
      </c>
      <c r="Y609" s="706">
        <v>106</v>
      </c>
      <c r="Z609" s="706">
        <v>113</v>
      </c>
      <c r="AA609" s="706">
        <v>122</v>
      </c>
      <c r="AB609" s="706">
        <v>133</v>
      </c>
      <c r="AC609" s="706">
        <v>154</v>
      </c>
      <c r="AD609" s="706">
        <v>175</v>
      </c>
      <c r="AE609" s="706">
        <v>191</v>
      </c>
      <c r="AF609" s="706">
        <v>246</v>
      </c>
      <c r="AG609" s="706">
        <v>312</v>
      </c>
      <c r="AH609" s="706">
        <v>22</v>
      </c>
      <c r="AI609" s="706">
        <v>22</v>
      </c>
      <c r="AJ609" s="905" t="str">
        <f t="shared" si="60"/>
        <v>G45201</v>
      </c>
      <c r="AK609" s="905" t="str">
        <f t="shared" si="61"/>
        <v>VTES - WHOLESALE W</v>
      </c>
      <c r="AL609" s="905">
        <f>IFERROR(INDEX(G609:R609,1,MATCH(Parametres!$B$3,G$1:R$1,0)-1)*IF(OR(F609="L",F609="S",F609="I"),-1,1),"")</f>
        <v>-36816720</v>
      </c>
      <c r="AM609" s="905">
        <f t="shared" si="56"/>
        <v>-8060800</v>
      </c>
      <c r="AN609" s="905">
        <f>INDEX(G609:R609,1,MATCH(Parametres!$B$3,G$1:R$1,0))*IF(OR(F609="L",F609="S",F609="I"),-1,1)</f>
        <v>-44877520</v>
      </c>
      <c r="AO609" s="487" t="str">
        <f>+VLOOKUP($AJ609,Data_Validation!$A:$D,1,0)</f>
        <v>G45201</v>
      </c>
      <c r="AP609" s="487" t="str">
        <f>+VLOOKUP($AJ609,Data_Validation!$A:$D,3,0)</f>
        <v>Wholesale autres</v>
      </c>
      <c r="AQ609" s="487" t="str">
        <f>+VLOOKUP($AJ609,Data_Validation!$A:$D,4,0)</f>
        <v>Wholesale Luxueux</v>
      </c>
      <c r="AR609" s="487" t="s">
        <v>299</v>
      </c>
      <c r="AS609" s="487" t="str">
        <f>+VLOOKUP($AJ609,Data_Validation!$A:$E,5,0)</f>
        <v>Oui</v>
      </c>
      <c r="AT609" s="904" t="str">
        <f t="shared" si="57"/>
        <v>G45201</v>
      </c>
      <c r="AU609" s="488" t="str">
        <f t="shared" si="58"/>
        <v>VTES - WHOLESALE W</v>
      </c>
      <c r="AV609" s="899">
        <f>IFERROR(INDEX(V609:AG609,1,MATCH(Parametres!$B$3,V$1:AG$1,0)-1)*IF(OR(C609="L",C609="S",C609="I"),-1,1),"")</f>
        <v>246</v>
      </c>
      <c r="AW609" s="899">
        <f t="shared" si="59"/>
        <v>66</v>
      </c>
      <c r="AX609" s="899">
        <f>INDEX(V609:AG609,1,MATCH(Parametres!$B$3,V$1:AG$1,0))*IF(OR(C609="L",C609="S",C609="I"),-1,1)</f>
        <v>312</v>
      </c>
      <c r="AY609" s="487" t="s">
        <v>337</v>
      </c>
      <c r="AZ609" s="487" t="str">
        <f>+VLOOKUP($AJ609,Data_Validation!$A:$E,5,0)</f>
        <v>Oui</v>
      </c>
    </row>
    <row r="610" spans="1:52" ht="15" customHeight="1">
      <c r="A610" s="706" t="s">
        <v>1147</v>
      </c>
      <c r="B610" s="706">
        <v>2025</v>
      </c>
      <c r="C610" s="706" t="s">
        <v>2423</v>
      </c>
      <c r="D610" s="706" t="s">
        <v>2424</v>
      </c>
      <c r="E610" s="706" t="s">
        <v>333</v>
      </c>
      <c r="F610" s="706" t="s">
        <v>1148</v>
      </c>
      <c r="G610" s="706">
        <v>0</v>
      </c>
      <c r="H610" s="706">
        <v>0</v>
      </c>
      <c r="I610" s="706">
        <v>0</v>
      </c>
      <c r="J610" s="706">
        <v>0</v>
      </c>
      <c r="K610" s="706">
        <v>0</v>
      </c>
      <c r="L610" s="706">
        <v>0</v>
      </c>
      <c r="M610" s="706">
        <v>0</v>
      </c>
      <c r="N610" s="706">
        <v>0</v>
      </c>
      <c r="O610" s="706">
        <v>0</v>
      </c>
      <c r="P610" s="706">
        <v>0</v>
      </c>
      <c r="Q610" s="706">
        <v>0</v>
      </c>
      <c r="R610" s="706">
        <v>0</v>
      </c>
      <c r="S610" s="706">
        <v>0</v>
      </c>
      <c r="T610" s="706">
        <v>0</v>
      </c>
      <c r="U610" s="706">
        <v>0</v>
      </c>
      <c r="V610" s="706">
        <v>0</v>
      </c>
      <c r="W610" s="706">
        <v>0</v>
      </c>
      <c r="X610" s="706">
        <v>0</v>
      </c>
      <c r="Y610" s="706">
        <v>0</v>
      </c>
      <c r="Z610" s="706">
        <v>0</v>
      </c>
      <c r="AA610" s="706">
        <v>0</v>
      </c>
      <c r="AB610" s="706">
        <v>0</v>
      </c>
      <c r="AC610" s="706">
        <v>0</v>
      </c>
      <c r="AD610" s="706">
        <v>0</v>
      </c>
      <c r="AE610" s="706">
        <v>0</v>
      </c>
      <c r="AF610" s="706">
        <v>0</v>
      </c>
      <c r="AG610" s="706">
        <v>0</v>
      </c>
      <c r="AH610" s="706">
        <v>0</v>
      </c>
      <c r="AI610" s="706">
        <v>0</v>
      </c>
      <c r="AJ610" s="905" t="str">
        <f t="shared" si="60"/>
        <v>G45300</v>
      </c>
      <c r="AK610" s="905" t="str">
        <f t="shared" si="61"/>
        <v>*RECTIFICATION/STOK/TRUCK</v>
      </c>
      <c r="AL610" s="905">
        <f>IFERROR(INDEX(G610:R610,1,MATCH(Parametres!$B$3,G$1:R$1,0)-1)*IF(OR(F610="L",F610="S",F610="I"),-1,1),"")</f>
        <v>0</v>
      </c>
      <c r="AM610" s="905">
        <f t="shared" si="56"/>
        <v>0</v>
      </c>
      <c r="AN610" s="905">
        <f>INDEX(G610:R610,1,MATCH(Parametres!$B$3,G$1:R$1,0))*IF(OR(F610="L",F610="S",F610="I"),-1,1)</f>
        <v>0</v>
      </c>
      <c r="AO610" s="487" t="str">
        <f>+VLOOKUP($AJ610,Data_Validation!$A:$D,1,0)</f>
        <v>G45300</v>
      </c>
      <c r="AP610" s="487">
        <f>+VLOOKUP($AJ610,Data_Validation!$A:$D,3,0)</f>
        <v>0</v>
      </c>
      <c r="AQ610" s="487">
        <f>+VLOOKUP($AJ610,Data_Validation!$A:$D,4,0)</f>
        <v>0</v>
      </c>
      <c r="AR610" s="487" t="s">
        <v>299</v>
      </c>
      <c r="AS610" s="487">
        <f>+VLOOKUP($AJ610,Data_Validation!$A:$E,5,0)</f>
        <v>0</v>
      </c>
      <c r="AT610" s="904" t="str">
        <f t="shared" si="57"/>
        <v>G45300</v>
      </c>
      <c r="AU610" s="488" t="str">
        <f t="shared" si="58"/>
        <v>*RECTIFICATION/STOK/TRUCK</v>
      </c>
      <c r="AV610" s="899">
        <f>IFERROR(INDEX(V610:AG610,1,MATCH(Parametres!$B$3,V$1:AG$1,0)-1)*IF(OR(C610="L",C610="S",C610="I"),-1,1),"")</f>
        <v>0</v>
      </c>
      <c r="AW610" s="899">
        <f t="shared" si="59"/>
        <v>0</v>
      </c>
      <c r="AX610" s="899">
        <f>INDEX(V610:AG610,1,MATCH(Parametres!$B$3,V$1:AG$1,0))*IF(OR(C610="L",C610="S",C610="I"),-1,1)</f>
        <v>0</v>
      </c>
      <c r="AY610" s="487" t="s">
        <v>337</v>
      </c>
      <c r="AZ610" s="487">
        <f>+VLOOKUP($AJ610,Data_Validation!$A:$E,5,0)</f>
        <v>0</v>
      </c>
    </row>
    <row r="611" spans="1:52" ht="15" hidden="1" customHeight="1">
      <c r="A611" s="706" t="s">
        <v>1147</v>
      </c>
      <c r="B611" s="706">
        <v>2025</v>
      </c>
      <c r="C611" s="706" t="s">
        <v>2425</v>
      </c>
      <c r="D611" s="706" t="s">
        <v>2426</v>
      </c>
      <c r="E611" s="706" t="s">
        <v>333</v>
      </c>
      <c r="F611" s="706" t="s">
        <v>1148</v>
      </c>
      <c r="G611" s="706">
        <v>13098</v>
      </c>
      <c r="H611" s="706">
        <v>22501</v>
      </c>
      <c r="I611" s="706">
        <v>45421</v>
      </c>
      <c r="J611" s="706">
        <v>59471</v>
      </c>
      <c r="K611" s="706">
        <v>72371</v>
      </c>
      <c r="L611" s="706">
        <v>72371</v>
      </c>
      <c r="M611" s="706">
        <v>78956</v>
      </c>
      <c r="N611" s="706">
        <v>89171</v>
      </c>
      <c r="O611" s="706">
        <v>111174</v>
      </c>
      <c r="P611" s="706">
        <v>135622</v>
      </c>
      <c r="Q611" s="706">
        <v>141962</v>
      </c>
      <c r="R611" s="706">
        <v>169987</v>
      </c>
      <c r="S611" s="706">
        <v>12905.64</v>
      </c>
      <c r="T611" s="706">
        <v>12905.64</v>
      </c>
      <c r="U611" s="706">
        <v>0</v>
      </c>
      <c r="V611" s="706">
        <v>4</v>
      </c>
      <c r="W611" s="706">
        <v>7</v>
      </c>
      <c r="X611" s="706">
        <v>14</v>
      </c>
      <c r="Y611" s="706">
        <v>18</v>
      </c>
      <c r="Z611" s="706">
        <v>22</v>
      </c>
      <c r="AA611" s="706">
        <v>22</v>
      </c>
      <c r="AB611" s="706">
        <v>24</v>
      </c>
      <c r="AC611" s="706">
        <v>27</v>
      </c>
      <c r="AD611" s="706">
        <v>34</v>
      </c>
      <c r="AE611" s="706">
        <v>41</v>
      </c>
      <c r="AF611" s="706">
        <v>43</v>
      </c>
      <c r="AG611" s="706">
        <v>50</v>
      </c>
      <c r="AH611" s="706">
        <v>4</v>
      </c>
      <c r="AI611" s="706">
        <v>4</v>
      </c>
      <c r="AJ611" s="905" t="str">
        <f t="shared" si="60"/>
        <v>G45400</v>
      </c>
      <c r="AK611" s="905" t="str">
        <f t="shared" si="61"/>
        <v>VTES-PLAN PROTECTION USAG</v>
      </c>
      <c r="AL611" s="905">
        <f>IFERROR(INDEX(G611:R611,1,MATCH(Parametres!$B$3,G$1:R$1,0)-1)*IF(OR(F611="L",F611="S",F611="I"),-1,1),"")</f>
        <v>-141962</v>
      </c>
      <c r="AM611" s="905">
        <f t="shared" si="56"/>
        <v>-28025</v>
      </c>
      <c r="AN611" s="905">
        <f>INDEX(G611:R611,1,MATCH(Parametres!$B$3,G$1:R$1,0))*IF(OR(F611="L",F611="S",F611="I"),-1,1)</f>
        <v>-169987</v>
      </c>
      <c r="AO611" s="487" t="str">
        <f>+VLOOKUP($AJ611,Data_Validation!$A:$D,1,0)</f>
        <v>G45400</v>
      </c>
      <c r="AP611" s="487" t="str">
        <f>+VLOOKUP($AJ611,Data_Validation!$A:$D,3,0)</f>
        <v>Véhicules usagés</v>
      </c>
      <c r="AQ611" s="487" t="str">
        <f>+VLOOKUP($AJ611,Data_Validation!$A:$D,4,0)</f>
        <v>Rev. Protections</v>
      </c>
      <c r="AR611" s="487" t="s">
        <v>299</v>
      </c>
      <c r="AS611" s="487" t="str">
        <f>+VLOOKUP($AJ611,Data_Validation!$A:$E,5,0)</f>
        <v>Oui</v>
      </c>
      <c r="AT611" s="904" t="str">
        <f t="shared" si="57"/>
        <v>G45400</v>
      </c>
      <c r="AU611" s="488" t="str">
        <f t="shared" si="58"/>
        <v>VTES-PLAN PROTECTION USAG</v>
      </c>
      <c r="AV611" s="899">
        <f>IFERROR(INDEX(V611:AG611,1,MATCH(Parametres!$B$3,V$1:AG$1,0)-1)*IF(OR(C611="L",C611="S",C611="I"),-1,1),"")</f>
        <v>43</v>
      </c>
      <c r="AW611" s="899">
        <f t="shared" si="59"/>
        <v>7</v>
      </c>
      <c r="AX611" s="899">
        <f>INDEX(V611:AG611,1,MATCH(Parametres!$B$3,V$1:AG$1,0))*IF(OR(C611="L",C611="S",C611="I"),-1,1)</f>
        <v>50</v>
      </c>
      <c r="AY611" s="487" t="s">
        <v>337</v>
      </c>
      <c r="AZ611" s="487" t="str">
        <f>+VLOOKUP($AJ611,Data_Validation!$A:$E,5,0)</f>
        <v>Oui</v>
      </c>
    </row>
    <row r="612" spans="1:52" ht="15" hidden="1" customHeight="1">
      <c r="A612" s="706" t="s">
        <v>1147</v>
      </c>
      <c r="B612" s="706">
        <v>2025</v>
      </c>
      <c r="C612" s="706" t="s">
        <v>2427</v>
      </c>
      <c r="D612" s="706" t="s">
        <v>2428</v>
      </c>
      <c r="E612" s="706" t="s">
        <v>1148</v>
      </c>
      <c r="F612" s="706" t="s">
        <v>1148</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G45500</v>
      </c>
      <c r="AK612" s="905" t="str">
        <f t="shared" si="61"/>
        <v>RETOUR DE LOCATION-VENTE</v>
      </c>
      <c r="AL612" s="905">
        <f>IFERROR(INDEX(G612:R612,1,MATCH(Parametres!$B$3,G$1:R$1,0)-1)*IF(OR(F612="L",F612="S",F612="I"),-1,1),"")</f>
        <v>0</v>
      </c>
      <c r="AM612" s="905">
        <f t="shared" si="56"/>
        <v>0</v>
      </c>
      <c r="AN612" s="905">
        <f>INDEX(G612:R612,1,MATCH(Parametres!$B$3,G$1:R$1,0))*IF(OR(F612="L",F612="S",F612="I"),-1,1)</f>
        <v>0</v>
      </c>
      <c r="AO612" s="487" t="str">
        <f>+VLOOKUP($AJ612,Data_Validation!$A:$D,1,0)</f>
        <v>G45500</v>
      </c>
      <c r="AP612" s="487" t="str">
        <f>+VLOOKUP($AJ612,Data_Validation!$A:$D,3,0)</f>
        <v>Véhicules usagés</v>
      </c>
      <c r="AQ612" s="487" t="str">
        <f>+VLOOKUP($AJ612,Data_Validation!$A:$D,4,0)</f>
        <v>Rev. Protections</v>
      </c>
      <c r="AR612" s="487" t="s">
        <v>299</v>
      </c>
      <c r="AS612" s="487" t="str">
        <f>+VLOOKUP($AJ612,Data_Validation!$A:$E,5,0)</f>
        <v>Oui</v>
      </c>
      <c r="AT612" s="904" t="str">
        <f t="shared" si="57"/>
        <v>G45500</v>
      </c>
      <c r="AU612" s="488" t="str">
        <f t="shared" si="58"/>
        <v>RETOUR DE LOCATION-VENTE</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hidden="1" customHeight="1">
      <c r="A613" s="706" t="s">
        <v>1147</v>
      </c>
      <c r="B613" s="706">
        <v>2025</v>
      </c>
      <c r="C613" s="706" t="s">
        <v>2429</v>
      </c>
      <c r="D613" s="706" t="s">
        <v>2430</v>
      </c>
      <c r="E613" s="706" t="s">
        <v>333</v>
      </c>
      <c r="F613" s="706" t="s">
        <v>1148</v>
      </c>
      <c r="G613" s="706">
        <v>1346</v>
      </c>
      <c r="H613" s="706">
        <v>1346</v>
      </c>
      <c r="I613" s="706">
        <v>4849</v>
      </c>
      <c r="J613" s="706">
        <v>4849</v>
      </c>
      <c r="K613" s="706">
        <v>4849</v>
      </c>
      <c r="L613" s="706">
        <v>4849</v>
      </c>
      <c r="M613" s="706">
        <v>5871</v>
      </c>
      <c r="N613" s="706">
        <v>9449</v>
      </c>
      <c r="O613" s="706">
        <v>9449</v>
      </c>
      <c r="P613" s="706">
        <v>12671</v>
      </c>
      <c r="Q613" s="706">
        <v>14257</v>
      </c>
      <c r="R613" s="706">
        <v>14257</v>
      </c>
      <c r="S613" s="706">
        <v>1296.0899999999999</v>
      </c>
      <c r="T613" s="706">
        <v>1296.0899999999999</v>
      </c>
      <c r="U613" s="706">
        <v>0</v>
      </c>
      <c r="V613" s="706">
        <v>1</v>
      </c>
      <c r="W613" s="706">
        <v>1</v>
      </c>
      <c r="X613" s="706">
        <v>3</v>
      </c>
      <c r="Y613" s="706">
        <v>3</v>
      </c>
      <c r="Z613" s="706">
        <v>3</v>
      </c>
      <c r="AA613" s="706">
        <v>3</v>
      </c>
      <c r="AB613" s="706">
        <v>4</v>
      </c>
      <c r="AC613" s="706">
        <v>6</v>
      </c>
      <c r="AD613" s="706">
        <v>6</v>
      </c>
      <c r="AE613" s="706">
        <v>8</v>
      </c>
      <c r="AF613" s="706">
        <v>9</v>
      </c>
      <c r="AG613" s="706">
        <v>9</v>
      </c>
      <c r="AH613" s="706">
        <v>1</v>
      </c>
      <c r="AI613" s="706">
        <v>1</v>
      </c>
      <c r="AJ613" s="905" t="str">
        <f t="shared" si="60"/>
        <v>G45600</v>
      </c>
      <c r="AK613" s="905" t="str">
        <f t="shared" si="61"/>
        <v>VALEUR REMPL. USAGES</v>
      </c>
      <c r="AL613" s="905">
        <f>IFERROR(INDEX(G613:R613,1,MATCH(Parametres!$B$3,G$1:R$1,0)-1)*IF(OR(F613="L",F613="S",F613="I"),-1,1),"")</f>
        <v>-14257</v>
      </c>
      <c r="AM613" s="905">
        <f t="shared" si="56"/>
        <v>0</v>
      </c>
      <c r="AN613" s="905">
        <f>INDEX(G613:R613,1,MATCH(Parametres!$B$3,G$1:R$1,0))*IF(OR(F613="L",F613="S",F613="I"),-1,1)</f>
        <v>-14257</v>
      </c>
      <c r="AO613" s="487" t="str">
        <f>+VLOOKUP($AJ613,Data_Validation!$A:$D,1,0)</f>
        <v>G45600</v>
      </c>
      <c r="AP613" s="487" t="str">
        <f>+VLOOKUP($AJ613,Data_Validation!$A:$D,3,0)</f>
        <v>Véhicules usagés</v>
      </c>
      <c r="AQ613" s="487" t="str">
        <f>+VLOOKUP($AJ613,Data_Validation!$A:$D,4,0)</f>
        <v>Rev. Protections</v>
      </c>
      <c r="AR613" s="487" t="s">
        <v>299</v>
      </c>
      <c r="AS613" s="487" t="str">
        <f>+VLOOKUP($AJ613,Data_Validation!$A:$E,5,0)</f>
        <v>Oui</v>
      </c>
      <c r="AT613" s="904" t="str">
        <f t="shared" si="57"/>
        <v>G45600</v>
      </c>
      <c r="AU613" s="488" t="str">
        <f t="shared" si="58"/>
        <v>VALEUR REMPL. USAGES</v>
      </c>
      <c r="AV613" s="899">
        <f>IFERROR(INDEX(V613:AG613,1,MATCH(Parametres!$B$3,V$1:AG$1,0)-1)*IF(OR(C613="L",C613="S",C613="I"),-1,1),"")</f>
        <v>9</v>
      </c>
      <c r="AW613" s="899">
        <f t="shared" si="59"/>
        <v>0</v>
      </c>
      <c r="AX613" s="899">
        <f>INDEX(V613:AG613,1,MATCH(Parametres!$B$3,V$1:AG$1,0))*IF(OR(C613="L",C613="S",C613="I"),-1,1)</f>
        <v>9</v>
      </c>
      <c r="AY613" s="487" t="s">
        <v>337</v>
      </c>
      <c r="AZ613" s="487" t="str">
        <f>+VLOOKUP($AJ613,Data_Validation!$A:$E,5,0)</f>
        <v>Oui</v>
      </c>
    </row>
    <row r="614" spans="1:52" ht="15" hidden="1" customHeight="1">
      <c r="A614" s="706" t="s">
        <v>1147</v>
      </c>
      <c r="B614" s="706">
        <v>2025</v>
      </c>
      <c r="C614" s="706" t="s">
        <v>2431</v>
      </c>
      <c r="D614" s="706" t="s">
        <v>2432</v>
      </c>
      <c r="E614" s="706" t="s">
        <v>1148</v>
      </c>
      <c r="F614" s="706" t="s">
        <v>1148</v>
      </c>
      <c r="G614" s="706">
        <v>0</v>
      </c>
      <c r="H614" s="706">
        <v>0</v>
      </c>
      <c r="I614" s="706">
        <v>314896.32</v>
      </c>
      <c r="J614" s="706">
        <v>603770.98</v>
      </c>
      <c r="K614" s="706">
        <v>603770.98</v>
      </c>
      <c r="L614" s="706">
        <v>603770.98</v>
      </c>
      <c r="M614" s="706">
        <v>603770.98</v>
      </c>
      <c r="N614" s="706">
        <v>603770.98</v>
      </c>
      <c r="O614" s="706">
        <v>603770.98</v>
      </c>
      <c r="P614" s="706">
        <v>603770.98</v>
      </c>
      <c r="Q614" s="706">
        <v>603770.98</v>
      </c>
      <c r="R614" s="706">
        <v>603770.98</v>
      </c>
      <c r="S614" s="706">
        <v>54888.27</v>
      </c>
      <c r="T614" s="706">
        <v>54888.27</v>
      </c>
      <c r="U614" s="706">
        <v>0</v>
      </c>
      <c r="V614" s="706">
        <v>0</v>
      </c>
      <c r="W614" s="706">
        <v>0</v>
      </c>
      <c r="X614" s="706">
        <v>10</v>
      </c>
      <c r="Y614" s="706">
        <v>17</v>
      </c>
      <c r="Z614" s="706">
        <v>17</v>
      </c>
      <c r="AA614" s="706">
        <v>17</v>
      </c>
      <c r="AB614" s="706">
        <v>17</v>
      </c>
      <c r="AC614" s="706">
        <v>17</v>
      </c>
      <c r="AD614" s="706">
        <v>17</v>
      </c>
      <c r="AE614" s="706">
        <v>17</v>
      </c>
      <c r="AF614" s="706">
        <v>17</v>
      </c>
      <c r="AG614" s="706">
        <v>17</v>
      </c>
      <c r="AH614" s="706">
        <v>2</v>
      </c>
      <c r="AI614" s="706">
        <v>2</v>
      </c>
      <c r="AJ614" s="905" t="str">
        <f t="shared" si="60"/>
        <v>G45601</v>
      </c>
      <c r="AK614" s="905" t="str">
        <f t="shared" si="61"/>
        <v>REV VEHICULES U.S.A</v>
      </c>
      <c r="AL614" s="905">
        <f>IFERROR(INDEX(G614:R614,1,MATCH(Parametres!$B$3,G$1:R$1,0)-1)*IF(OR(F614="L",F614="S",F614="I"),-1,1),"")</f>
        <v>-603770.98</v>
      </c>
      <c r="AM614" s="905">
        <f t="shared" si="56"/>
        <v>0</v>
      </c>
      <c r="AN614" s="905">
        <f>INDEX(G614:R614,1,MATCH(Parametres!$B$3,G$1:R$1,0))*IF(OR(F614="L",F614="S",F614="I"),-1,1)</f>
        <v>-603770.98</v>
      </c>
      <c r="AO614" s="487" t="str">
        <f>+VLOOKUP($AJ614,Data_Validation!$A:$D,1,0)</f>
        <v>G45601</v>
      </c>
      <c r="AP614" s="487" t="str">
        <f>+VLOOKUP($AJ614,Data_Validation!$A:$D,3,0)</f>
        <v>Wholesale autres</v>
      </c>
      <c r="AQ614" s="487" t="str">
        <f>+VLOOKUP($AJ614,Data_Validation!$A:$D,4,0)</f>
        <v>Wholesale USA</v>
      </c>
      <c r="AR614" s="487" t="s">
        <v>299</v>
      </c>
      <c r="AS614" s="487" t="str">
        <f>+VLOOKUP($AJ614,Data_Validation!$A:$E,5,0)</f>
        <v>Oui</v>
      </c>
      <c r="AT614" s="904" t="str">
        <f t="shared" si="57"/>
        <v>G45601</v>
      </c>
      <c r="AU614" s="488" t="str">
        <f t="shared" si="58"/>
        <v>REV VEHICULES U.S.A</v>
      </c>
      <c r="AV614" s="899">
        <f>IFERROR(INDEX(V614:AG614,1,MATCH(Parametres!$B$3,V$1:AG$1,0)-1)*IF(OR(C614="L",C614="S",C614="I"),-1,1),"")</f>
        <v>17</v>
      </c>
      <c r="AW614" s="899">
        <f t="shared" si="59"/>
        <v>0</v>
      </c>
      <c r="AX614" s="899">
        <f>INDEX(V614:AG614,1,MATCH(Parametres!$B$3,V$1:AG$1,0))*IF(OR(C614="L",C614="S",C614="I"),-1,1)</f>
        <v>17</v>
      </c>
      <c r="AY614" s="487" t="s">
        <v>337</v>
      </c>
      <c r="AZ614" s="487" t="str">
        <f>+VLOOKUP($AJ614,Data_Validation!$A:$E,5,0)</f>
        <v>Oui</v>
      </c>
    </row>
    <row r="615" spans="1:52" ht="15" hidden="1" customHeight="1">
      <c r="A615" s="706" t="s">
        <v>1147</v>
      </c>
      <c r="B615" s="706">
        <v>2025</v>
      </c>
      <c r="C615" s="706" t="s">
        <v>2433</v>
      </c>
      <c r="D615" s="706" t="s">
        <v>2434</v>
      </c>
      <c r="E615" s="706" t="s">
        <v>333</v>
      </c>
      <c r="F615" s="706" t="s">
        <v>1148</v>
      </c>
      <c r="G615" s="706">
        <v>0</v>
      </c>
      <c r="H615" s="706">
        <v>0</v>
      </c>
      <c r="I615" s="706">
        <v>0</v>
      </c>
      <c r="J615" s="706">
        <v>0</v>
      </c>
      <c r="K615" s="706">
        <v>0</v>
      </c>
      <c r="L615" s="706">
        <v>0</v>
      </c>
      <c r="M615" s="706">
        <v>0</v>
      </c>
      <c r="N615" s="706">
        <v>0</v>
      </c>
      <c r="O615" s="706">
        <v>0</v>
      </c>
      <c r="P615" s="706">
        <v>0</v>
      </c>
      <c r="Q615" s="706">
        <v>0</v>
      </c>
      <c r="R615" s="706">
        <v>0</v>
      </c>
      <c r="S615" s="706">
        <v>0</v>
      </c>
      <c r="T615" s="706">
        <v>0</v>
      </c>
      <c r="U615" s="706">
        <v>0</v>
      </c>
      <c r="V615" s="706">
        <v>0</v>
      </c>
      <c r="W615" s="706">
        <v>0</v>
      </c>
      <c r="X615" s="706">
        <v>0</v>
      </c>
      <c r="Y615" s="706">
        <v>0</v>
      </c>
      <c r="Z615" s="706">
        <v>0</v>
      </c>
      <c r="AA615" s="706">
        <v>0</v>
      </c>
      <c r="AB615" s="706">
        <v>0</v>
      </c>
      <c r="AC615" s="706">
        <v>0</v>
      </c>
      <c r="AD615" s="706">
        <v>0</v>
      </c>
      <c r="AE615" s="706">
        <v>0</v>
      </c>
      <c r="AF615" s="706">
        <v>0</v>
      </c>
      <c r="AG615" s="706">
        <v>0</v>
      </c>
      <c r="AH615" s="706">
        <v>0</v>
      </c>
      <c r="AI615" s="706">
        <v>0</v>
      </c>
      <c r="AJ615" s="905" t="str">
        <f t="shared" si="60"/>
        <v>G45602</v>
      </c>
      <c r="AK615" s="905" t="str">
        <f t="shared" si="61"/>
        <v>VENTE USA -AJUSTMENT</v>
      </c>
      <c r="AL615" s="905">
        <f>IFERROR(INDEX(G615:R615,1,MATCH(Parametres!$B$3,G$1:R$1,0)-1)*IF(OR(F615="L",F615="S",F615="I"),-1,1),"")</f>
        <v>0</v>
      </c>
      <c r="AM615" s="905">
        <f t="shared" si="56"/>
        <v>0</v>
      </c>
      <c r="AN615" s="905">
        <f>INDEX(G615:R615,1,MATCH(Parametres!$B$3,G$1:R$1,0))*IF(OR(F615="L",F615="S",F615="I"),-1,1)</f>
        <v>0</v>
      </c>
      <c r="AO615" s="487" t="str">
        <f>+VLOOKUP($AJ615,Data_Validation!$A:$D,1,0)</f>
        <v>G45602</v>
      </c>
      <c r="AP615" s="487" t="str">
        <f>+VLOOKUP($AJ615,Data_Validation!$A:$D,3,0)</f>
        <v>Wholesale autres</v>
      </c>
      <c r="AQ615" s="487" t="str">
        <f>+VLOOKUP($AJ615,Data_Validation!$A:$D,4,0)</f>
        <v>Wholesale USA</v>
      </c>
      <c r="AR615" s="487" t="s">
        <v>299</v>
      </c>
      <c r="AS615" s="487" t="str">
        <f>+VLOOKUP($AJ615,Data_Validation!$A:$E,5,0)</f>
        <v>Oui</v>
      </c>
      <c r="AT615" s="904" t="str">
        <f t="shared" si="57"/>
        <v>G45602</v>
      </c>
      <c r="AU615" s="488" t="str">
        <f t="shared" si="58"/>
        <v>VENTE USA -AJUSTMENT</v>
      </c>
      <c r="AV615" s="899">
        <f>IFERROR(INDEX(V615:AG615,1,MATCH(Parametres!$B$3,V$1:AG$1,0)-1)*IF(OR(C615="L",C615="S",C615="I"),-1,1),"")</f>
        <v>0</v>
      </c>
      <c r="AW615" s="899">
        <f t="shared" si="59"/>
        <v>0</v>
      </c>
      <c r="AX615" s="899">
        <f>INDEX(V615:AG615,1,MATCH(Parametres!$B$3,V$1:AG$1,0))*IF(OR(C615="L",C615="S",C615="I"),-1,1)</f>
        <v>0</v>
      </c>
      <c r="AY615" s="487" t="s">
        <v>337</v>
      </c>
      <c r="AZ615" s="487" t="str">
        <f>+VLOOKUP($AJ615,Data_Validation!$A:$E,5,0)</f>
        <v>Oui</v>
      </c>
    </row>
    <row r="616" spans="1:52" ht="15" hidden="1" customHeight="1">
      <c r="A616" s="706" t="s">
        <v>1147</v>
      </c>
      <c r="B616" s="706">
        <v>2025</v>
      </c>
      <c r="C616" s="706" t="s">
        <v>2435</v>
      </c>
      <c r="D616" s="706" t="s">
        <v>2436</v>
      </c>
      <c r="E616" s="706" t="s">
        <v>1148</v>
      </c>
      <c r="F616" s="706" t="s">
        <v>1148</v>
      </c>
      <c r="G616" s="706">
        <v>502128.22</v>
      </c>
      <c r="H616" s="706">
        <v>1304423.45</v>
      </c>
      <c r="I616" s="706">
        <v>4044860.47</v>
      </c>
      <c r="J616" s="706">
        <v>8749186.9800000004</v>
      </c>
      <c r="K616" s="706">
        <v>15602569.17</v>
      </c>
      <c r="L616" s="706">
        <v>21180725.629999999</v>
      </c>
      <c r="M616" s="706">
        <v>23194896.399999999</v>
      </c>
      <c r="N616" s="706">
        <v>25527437.09</v>
      </c>
      <c r="O616" s="706">
        <v>26071428.510000002</v>
      </c>
      <c r="P616" s="706">
        <v>26242014.219999999</v>
      </c>
      <c r="Q616" s="706">
        <v>26838636.420000002</v>
      </c>
      <c r="R616" s="706">
        <v>27664822.469999999</v>
      </c>
      <c r="S616" s="706">
        <v>2439876.04</v>
      </c>
      <c r="T616" s="706">
        <v>2439876.04</v>
      </c>
      <c r="U616" s="706">
        <v>0</v>
      </c>
      <c r="V616" s="706">
        <v>12</v>
      </c>
      <c r="W616" s="706">
        <v>27</v>
      </c>
      <c r="X616" s="706">
        <v>79</v>
      </c>
      <c r="Y616" s="706">
        <v>167</v>
      </c>
      <c r="Z616" s="706">
        <v>290</v>
      </c>
      <c r="AA616" s="706">
        <v>387</v>
      </c>
      <c r="AB616" s="706">
        <v>447</v>
      </c>
      <c r="AC616" s="706">
        <v>491</v>
      </c>
      <c r="AD616" s="706">
        <v>501</v>
      </c>
      <c r="AE616" s="706">
        <v>504</v>
      </c>
      <c r="AF616" s="706">
        <v>519</v>
      </c>
      <c r="AG616" s="706">
        <v>539</v>
      </c>
      <c r="AH616" s="706">
        <v>47</v>
      </c>
      <c r="AI616" s="706">
        <v>47</v>
      </c>
      <c r="AJ616" s="905" t="str">
        <f t="shared" si="60"/>
        <v>G45603</v>
      </c>
      <c r="AK616" s="905" t="str">
        <f t="shared" si="61"/>
        <v>COUT VENTES USA</v>
      </c>
      <c r="AL616" s="905">
        <f>IFERROR(INDEX(G616:R616,1,MATCH(Parametres!$B$3,G$1:R$1,0)-1)*IF(OR(F616="L",F616="S",F616="I"),-1,1),"")</f>
        <v>-26838636.420000002</v>
      </c>
      <c r="AM616" s="905">
        <f t="shared" si="56"/>
        <v>-826186.04999999702</v>
      </c>
      <c r="AN616" s="905">
        <f>INDEX(G616:R616,1,MATCH(Parametres!$B$3,G$1:R$1,0))*IF(OR(F616="L",F616="S",F616="I"),-1,1)</f>
        <v>-27664822.469999999</v>
      </c>
      <c r="AO616" s="487" t="str">
        <f>+VLOOKUP($AJ616,Data_Validation!$A:$D,1,0)</f>
        <v>G45603</v>
      </c>
      <c r="AP616" s="487" t="str">
        <f>+VLOOKUP($AJ616,Data_Validation!$A:$D,3,0)</f>
        <v>Wholesale autres</v>
      </c>
      <c r="AQ616" s="487" t="str">
        <f>+VLOOKUP($AJ616,Data_Validation!$A:$D,4,0)</f>
        <v>Wholesale USA</v>
      </c>
      <c r="AR616" s="487" t="s">
        <v>299</v>
      </c>
      <c r="AS616" s="487" t="str">
        <f>+VLOOKUP($AJ616,Data_Validation!$A:$E,5,0)</f>
        <v>Oui</v>
      </c>
      <c r="AT616" s="904" t="str">
        <f t="shared" si="57"/>
        <v>G45603</v>
      </c>
      <c r="AU616" s="488" t="str">
        <f t="shared" si="58"/>
        <v>COUT VENTES USA</v>
      </c>
      <c r="AV616" s="899">
        <f>IFERROR(INDEX(V616:AG616,1,MATCH(Parametres!$B$3,V$1:AG$1,0)-1)*IF(OR(C616="L",C616="S",C616="I"),-1,1),"")</f>
        <v>519</v>
      </c>
      <c r="AW616" s="899">
        <f t="shared" si="59"/>
        <v>20</v>
      </c>
      <c r="AX616" s="899">
        <f>INDEX(V616:AG616,1,MATCH(Parametres!$B$3,V$1:AG$1,0))*IF(OR(C616="L",C616="S",C616="I"),-1,1)</f>
        <v>539</v>
      </c>
      <c r="AY616" s="487" t="s">
        <v>337</v>
      </c>
      <c r="AZ616" s="487" t="str">
        <f>+VLOOKUP($AJ616,Data_Validation!$A:$E,5,0)</f>
        <v>Oui</v>
      </c>
    </row>
    <row r="617" spans="1:52" ht="15" hidden="1" customHeight="1">
      <c r="A617" s="706" t="s">
        <v>1147</v>
      </c>
      <c r="B617" s="706">
        <v>2025</v>
      </c>
      <c r="C617" s="706" t="s">
        <v>2441</v>
      </c>
      <c r="D617" s="706" t="s">
        <v>2442</v>
      </c>
      <c r="E617" s="706" t="s">
        <v>1150</v>
      </c>
      <c r="F617" s="706" t="s">
        <v>1148</v>
      </c>
      <c r="G617" s="706">
        <v>64113.279999999999</v>
      </c>
      <c r="H617" s="706">
        <v>133817.64000000001</v>
      </c>
      <c r="I617" s="706">
        <v>203100.2</v>
      </c>
      <c r="J617" s="706">
        <v>300212.58</v>
      </c>
      <c r="K617" s="706">
        <v>389766.51</v>
      </c>
      <c r="L617" s="706">
        <v>464052.03</v>
      </c>
      <c r="M617" s="706">
        <v>526981.16</v>
      </c>
      <c r="N617" s="706">
        <v>609123.57999999996</v>
      </c>
      <c r="O617" s="706">
        <v>679595.77</v>
      </c>
      <c r="P617" s="706">
        <v>794191.04</v>
      </c>
      <c r="Q617" s="706">
        <v>901006.96</v>
      </c>
      <c r="R617" s="706">
        <v>978489.37</v>
      </c>
      <c r="S617" s="706">
        <v>81909.72</v>
      </c>
      <c r="T617" s="706">
        <v>81909.72</v>
      </c>
      <c r="U617" s="706">
        <v>0</v>
      </c>
      <c r="V617" s="706">
        <v>157</v>
      </c>
      <c r="W617" s="706">
        <v>302</v>
      </c>
      <c r="X617" s="706">
        <v>491</v>
      </c>
      <c r="Y617" s="706">
        <v>784</v>
      </c>
      <c r="Z617" s="706">
        <v>1017</v>
      </c>
      <c r="AA617" s="706">
        <v>1206</v>
      </c>
      <c r="AB617" s="706">
        <v>1375</v>
      </c>
      <c r="AC617" s="706">
        <v>1544</v>
      </c>
      <c r="AD617" s="706">
        <v>1737</v>
      </c>
      <c r="AE617" s="706">
        <v>2015</v>
      </c>
      <c r="AF617" s="706">
        <v>2361</v>
      </c>
      <c r="AG617" s="706">
        <v>2535</v>
      </c>
      <c r="AH617" s="706">
        <v>215</v>
      </c>
      <c r="AI617" s="706">
        <v>215</v>
      </c>
      <c r="AJ617" s="905" t="str">
        <f t="shared" si="60"/>
        <v>G46010</v>
      </c>
      <c r="AK617" s="905" t="str">
        <f t="shared" si="61"/>
        <v>M-D'O CLIENT VOIT-CAM.LEG</v>
      </c>
      <c r="AL617" s="905">
        <f>IFERROR(INDEX(G617:R617,1,MATCH(Parametres!$B$3,G$1:R$1,0)-1)*IF(OR(F617="L",F617="S",F617="I"),-1,1),"")</f>
        <v>-901006.96</v>
      </c>
      <c r="AM617" s="905">
        <f t="shared" si="56"/>
        <v>-77482.410000000033</v>
      </c>
      <c r="AN617" s="905">
        <f>INDEX(G617:R617,1,MATCH(Parametres!$B$3,G$1:R$1,0))*IF(OR(F617="L",F617="S",F617="I"),-1,1)</f>
        <v>-978489.37</v>
      </c>
      <c r="AO617" s="487" t="str">
        <f>+VLOOKUP($AJ617,Data_Validation!$A:$D,1,0)</f>
        <v>G46010</v>
      </c>
      <c r="AP617" s="487" t="str">
        <f>+VLOOKUP($AJ617,Data_Validation!$A:$D,3,0)</f>
        <v>Service</v>
      </c>
      <c r="AQ617" s="487" t="str">
        <f>+VLOOKUP($AJ617,Data_Validation!$A:$D,4,0)</f>
        <v>M/O Client</v>
      </c>
      <c r="AR617" s="487" t="s">
        <v>299</v>
      </c>
      <c r="AS617" s="487" t="str">
        <f>+VLOOKUP($AJ617,Data_Validation!$A:$E,5,0)</f>
        <v>Oui</v>
      </c>
      <c r="AT617" s="904" t="str">
        <f t="shared" si="57"/>
        <v>G46010</v>
      </c>
      <c r="AU617" s="488" t="str">
        <f t="shared" si="58"/>
        <v>M-D'O CLIENT VOIT-CAM.LEG</v>
      </c>
      <c r="AV617" s="899">
        <f>IFERROR(INDEX(V617:AG617,1,MATCH(Parametres!$B$3,V$1:AG$1,0)-1)*IF(OR(C617="L",C617="S",C617="I"),-1,1),"")</f>
        <v>2361</v>
      </c>
      <c r="AW617" s="899">
        <f t="shared" si="59"/>
        <v>174</v>
      </c>
      <c r="AX617" s="899">
        <f>INDEX(V617:AG617,1,MATCH(Parametres!$B$3,V$1:AG$1,0))*IF(OR(C617="L",C617="S",C617="I"),-1,1)</f>
        <v>2535</v>
      </c>
      <c r="AY617" s="487" t="s">
        <v>337</v>
      </c>
      <c r="AZ617" s="487" t="str">
        <f>+VLOOKUP($AJ617,Data_Validation!$A:$E,5,0)</f>
        <v>Oui</v>
      </c>
    </row>
    <row r="618" spans="1:52" ht="15" hidden="1" customHeight="1">
      <c r="A618" s="706" t="s">
        <v>1147</v>
      </c>
      <c r="B618" s="706">
        <v>2025</v>
      </c>
      <c r="C618" s="706" t="s">
        <v>2443</v>
      </c>
      <c r="D618" s="706" t="s">
        <v>2444</v>
      </c>
      <c r="E618" s="706" t="s">
        <v>1150</v>
      </c>
      <c r="F618" s="706" t="s">
        <v>1148</v>
      </c>
      <c r="G618" s="706">
        <v>0</v>
      </c>
      <c r="H618" s="706">
        <v>0</v>
      </c>
      <c r="I618" s="706">
        <v>0</v>
      </c>
      <c r="J618" s="706">
        <v>0</v>
      </c>
      <c r="K618" s="706">
        <v>0</v>
      </c>
      <c r="L618" s="706">
        <v>0</v>
      </c>
      <c r="M618" s="706">
        <v>0</v>
      </c>
      <c r="N618" s="706">
        <v>0</v>
      </c>
      <c r="O618" s="706">
        <v>0</v>
      </c>
      <c r="P618" s="706">
        <v>0</v>
      </c>
      <c r="Q618" s="706">
        <v>0</v>
      </c>
      <c r="R618" s="706">
        <v>0</v>
      </c>
      <c r="S618" s="706">
        <v>0</v>
      </c>
      <c r="T618" s="706">
        <v>0</v>
      </c>
      <c r="U618" s="706">
        <v>0</v>
      </c>
      <c r="V618" s="706">
        <v>0</v>
      </c>
      <c r="W618" s="706">
        <v>0</v>
      </c>
      <c r="X618" s="706">
        <v>0</v>
      </c>
      <c r="Y618" s="706">
        <v>0</v>
      </c>
      <c r="Z618" s="706">
        <v>0</v>
      </c>
      <c r="AA618" s="706">
        <v>0</v>
      </c>
      <c r="AB618" s="706">
        <v>0</v>
      </c>
      <c r="AC618" s="706">
        <v>0</v>
      </c>
      <c r="AD618" s="706">
        <v>0</v>
      </c>
      <c r="AE618" s="706">
        <v>0</v>
      </c>
      <c r="AF618" s="706">
        <v>0</v>
      </c>
      <c r="AG618" s="706">
        <v>0</v>
      </c>
      <c r="AH618" s="706">
        <v>0</v>
      </c>
      <c r="AI618" s="706">
        <v>0</v>
      </c>
      <c r="AJ618" s="905" t="str">
        <f t="shared" si="60"/>
        <v>G46020</v>
      </c>
      <c r="AK618" s="905" t="str">
        <f t="shared" si="61"/>
        <v>CONT.SER-VOIT &amp; CAM.LEGER</v>
      </c>
      <c r="AL618" s="905">
        <f>IFERROR(INDEX(G618:R618,1,MATCH(Parametres!$B$3,G$1:R$1,0)-1)*IF(OR(F618="L",F618="S",F618="I"),-1,1),"")</f>
        <v>0</v>
      </c>
      <c r="AM618" s="905">
        <f t="shared" si="56"/>
        <v>0</v>
      </c>
      <c r="AN618" s="905">
        <f>INDEX(G618:R618,1,MATCH(Parametres!$B$3,G$1:R$1,0))*IF(OR(F618="L",F618="S",F618="I"),-1,1)</f>
        <v>0</v>
      </c>
      <c r="AO618" s="487" t="str">
        <f>+VLOOKUP($AJ618,Data_Validation!$A:$D,1,0)</f>
        <v>G46020</v>
      </c>
      <c r="AP618" s="487" t="str">
        <f>+VLOOKUP($AJ618,Data_Validation!$A:$D,3,0)</f>
        <v>Service</v>
      </c>
      <c r="AQ618" s="487" t="str">
        <f>+VLOOKUP($AJ618,Data_Validation!$A:$D,4,0)</f>
        <v>M/O Garantie</v>
      </c>
      <c r="AR618" s="487" t="s">
        <v>299</v>
      </c>
      <c r="AS618" s="487" t="str">
        <f>+VLOOKUP($AJ618,Data_Validation!$A:$E,5,0)</f>
        <v>Oui</v>
      </c>
      <c r="AT618" s="904" t="str">
        <f t="shared" si="57"/>
        <v>G46020</v>
      </c>
      <c r="AU618" s="488" t="str">
        <f t="shared" si="58"/>
        <v>CONT.SER-VOIT &amp; CAM.LEGER</v>
      </c>
      <c r="AV618" s="899">
        <f>IFERROR(INDEX(V618:AG618,1,MATCH(Parametres!$B$3,V$1:AG$1,0)-1)*IF(OR(C618="L",C618="S",C618="I"),-1,1),"")</f>
        <v>0</v>
      </c>
      <c r="AW618" s="899">
        <f t="shared" si="59"/>
        <v>0</v>
      </c>
      <c r="AX618" s="899">
        <f>INDEX(V618:AG618,1,MATCH(Parametres!$B$3,V$1:AG$1,0))*IF(OR(C618="L",C618="S",C618="I"),-1,1)</f>
        <v>0</v>
      </c>
      <c r="AY618" s="487" t="s">
        <v>337</v>
      </c>
      <c r="AZ618" s="487" t="str">
        <f>+VLOOKUP($AJ618,Data_Validation!$A:$E,5,0)</f>
        <v>Oui</v>
      </c>
    </row>
    <row r="619" spans="1:52" ht="15" customHeight="1">
      <c r="A619" s="706" t="s">
        <v>1147</v>
      </c>
      <c r="B619" s="706">
        <v>2025</v>
      </c>
      <c r="C619" s="706" t="s">
        <v>2445</v>
      </c>
      <c r="D619" s="706" t="s">
        <v>2446</v>
      </c>
      <c r="E619" s="706" t="s">
        <v>1150</v>
      </c>
      <c r="F619" s="706" t="s">
        <v>1148</v>
      </c>
      <c r="G619" s="706">
        <v>0</v>
      </c>
      <c r="H619" s="706">
        <v>0</v>
      </c>
      <c r="I619" s="706">
        <v>0</v>
      </c>
      <c r="J619" s="706">
        <v>0</v>
      </c>
      <c r="K619" s="706">
        <v>0</v>
      </c>
      <c r="L619" s="706">
        <v>0</v>
      </c>
      <c r="M619" s="706">
        <v>0</v>
      </c>
      <c r="N619" s="706">
        <v>0</v>
      </c>
      <c r="O619" s="706">
        <v>0</v>
      </c>
      <c r="P619" s="706">
        <v>0</v>
      </c>
      <c r="Q619" s="706">
        <v>0</v>
      </c>
      <c r="R619" s="706">
        <v>0</v>
      </c>
      <c r="S619" s="706">
        <v>0</v>
      </c>
      <c r="T619" s="706">
        <v>0</v>
      </c>
      <c r="U619" s="706">
        <v>0</v>
      </c>
      <c r="V619" s="706">
        <v>0</v>
      </c>
      <c r="W619" s="706">
        <v>0</v>
      </c>
      <c r="X619" s="706">
        <v>0</v>
      </c>
      <c r="Y619" s="706">
        <v>0</v>
      </c>
      <c r="Z619" s="706">
        <v>0</v>
      </c>
      <c r="AA619" s="706">
        <v>0</v>
      </c>
      <c r="AB619" s="706">
        <v>0</v>
      </c>
      <c r="AC619" s="706">
        <v>0</v>
      </c>
      <c r="AD619" s="706">
        <v>0</v>
      </c>
      <c r="AE619" s="706">
        <v>0</v>
      </c>
      <c r="AF619" s="706">
        <v>0</v>
      </c>
      <c r="AG619" s="706">
        <v>0</v>
      </c>
      <c r="AH619" s="706">
        <v>0</v>
      </c>
      <c r="AI619" s="706">
        <v>0</v>
      </c>
      <c r="AJ619" s="905" t="str">
        <f t="shared" si="60"/>
        <v>G46030</v>
      </c>
      <c r="AK619" s="905" t="str">
        <f t="shared" si="61"/>
        <v>VTES-M.D.PL.PROT.AUT.AUTO</v>
      </c>
      <c r="AL619" s="905">
        <f>IFERROR(INDEX(G619:R619,1,MATCH(Parametres!$B$3,G$1:R$1,0)-1)*IF(OR(F619="L",F619="S",F619="I"),-1,1),"")</f>
        <v>0</v>
      </c>
      <c r="AM619" s="905">
        <f t="shared" si="56"/>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t="str">
        <f t="shared" si="57"/>
        <v>G46030</v>
      </c>
      <c r="AU619" s="488" t="str">
        <f t="shared" si="58"/>
        <v>VTES-M.D.PL.PROT.AUT.AUTO</v>
      </c>
      <c r="AV619" s="899">
        <f>IFERROR(INDEX(V619:AG619,1,MATCH(Parametres!$B$3,V$1:AG$1,0)-1)*IF(OR(C619="L",C619="S",C619="I"),-1,1),"")</f>
        <v>0</v>
      </c>
      <c r="AW619" s="899">
        <f t="shared" si="59"/>
        <v>0</v>
      </c>
      <c r="AX619" s="899">
        <f>INDEX(V619:AG619,1,MATCH(Parametres!$B$3,V$1:AG$1,0))*IF(OR(C619="L",C619="S",C619="I"),-1,1)</f>
        <v>0</v>
      </c>
      <c r="AY619" s="487" t="s">
        <v>337</v>
      </c>
      <c r="AZ619" s="487" t="e">
        <f>+VLOOKUP($AJ619,Data_Validation!$A:$E,5,0)</f>
        <v>#N/A</v>
      </c>
    </row>
    <row r="620" spans="1:52" ht="15" hidden="1" customHeight="1">
      <c r="A620" s="706" t="s">
        <v>1147</v>
      </c>
      <c r="B620" s="706">
        <v>2025</v>
      </c>
      <c r="C620" s="706" t="s">
        <v>2447</v>
      </c>
      <c r="D620" s="706" t="s">
        <v>2448</v>
      </c>
      <c r="E620" s="706" t="s">
        <v>1150</v>
      </c>
      <c r="F620" s="706" t="s">
        <v>1148</v>
      </c>
      <c r="G620" s="706">
        <v>13726.67</v>
      </c>
      <c r="H620" s="706">
        <v>22056.27</v>
      </c>
      <c r="I620" s="706">
        <v>37963.279999999999</v>
      </c>
      <c r="J620" s="706">
        <v>49342.73</v>
      </c>
      <c r="K620" s="706">
        <v>55263.53</v>
      </c>
      <c r="L620" s="706">
        <v>61351.73</v>
      </c>
      <c r="M620" s="706">
        <v>63860.35</v>
      </c>
      <c r="N620" s="706">
        <v>66644.899999999994</v>
      </c>
      <c r="O620" s="706">
        <v>69727.86</v>
      </c>
      <c r="P620" s="706">
        <v>72981.75</v>
      </c>
      <c r="Q620" s="706">
        <v>73718.259999999995</v>
      </c>
      <c r="R620" s="706">
        <v>74313.759999999995</v>
      </c>
      <c r="S620" s="706">
        <v>6701.66</v>
      </c>
      <c r="T620" s="706">
        <v>6701.66</v>
      </c>
      <c r="U620" s="706">
        <v>0</v>
      </c>
      <c r="V620" s="706">
        <v>79</v>
      </c>
      <c r="W620" s="706">
        <v>130</v>
      </c>
      <c r="X620" s="706">
        <v>194</v>
      </c>
      <c r="Y620" s="706">
        <v>257</v>
      </c>
      <c r="Z620" s="706">
        <v>289</v>
      </c>
      <c r="AA620" s="706">
        <v>310</v>
      </c>
      <c r="AB620" s="706">
        <v>324</v>
      </c>
      <c r="AC620" s="706">
        <v>337</v>
      </c>
      <c r="AD620" s="706">
        <v>353</v>
      </c>
      <c r="AE620" s="706">
        <v>370</v>
      </c>
      <c r="AF620" s="706">
        <v>379</v>
      </c>
      <c r="AG620" s="706">
        <v>385</v>
      </c>
      <c r="AH620" s="706">
        <v>34</v>
      </c>
      <c r="AI620" s="706">
        <v>34</v>
      </c>
      <c r="AJ620" s="905" t="str">
        <f t="shared" si="60"/>
        <v>G46040</v>
      </c>
      <c r="AK620" s="905" t="str">
        <f t="shared" si="61"/>
        <v>SERV. RAPIDE VOIT CAM.LEG</v>
      </c>
      <c r="AL620" s="905">
        <f>IFERROR(INDEX(G620:R620,1,MATCH(Parametres!$B$3,G$1:R$1,0)-1)*IF(OR(F620="L",F620="S",F620="I"),-1,1),"")</f>
        <v>-73718.259999999995</v>
      </c>
      <c r="AM620" s="905">
        <f t="shared" si="56"/>
        <v>-595.5</v>
      </c>
      <c r="AN620" s="905">
        <f>INDEX(G620:R620,1,MATCH(Parametres!$B$3,G$1:R$1,0))*IF(OR(F620="L",F620="S",F620="I"),-1,1)</f>
        <v>-74313.759999999995</v>
      </c>
      <c r="AO620" s="487" t="str">
        <f>+VLOOKUP($AJ620,Data_Validation!$A:$D,1,0)</f>
        <v>G46040</v>
      </c>
      <c r="AP620" s="487" t="str">
        <f>+VLOOKUP($AJ620,Data_Validation!$A:$D,3,0)</f>
        <v>Service</v>
      </c>
      <c r="AQ620" s="487" t="str">
        <f>+VLOOKUP($AJ620,Data_Validation!$A:$D,4,0)</f>
        <v>M/O Client</v>
      </c>
      <c r="AR620" s="487" t="s">
        <v>299</v>
      </c>
      <c r="AS620" s="487" t="str">
        <f>+VLOOKUP($AJ620,Data_Validation!$A:$E,5,0)</f>
        <v>Oui</v>
      </c>
      <c r="AT620" s="904" t="str">
        <f t="shared" si="57"/>
        <v>G46040</v>
      </c>
      <c r="AU620" s="488" t="str">
        <f t="shared" si="58"/>
        <v>SERV. RAPIDE VOIT CAM.LEG</v>
      </c>
      <c r="AV620" s="899">
        <f>IFERROR(INDEX(V620:AG620,1,MATCH(Parametres!$B$3,V$1:AG$1,0)-1)*IF(OR(C620="L",C620="S",C620="I"),-1,1),"")</f>
        <v>379</v>
      </c>
      <c r="AW620" s="899">
        <f t="shared" si="59"/>
        <v>6</v>
      </c>
      <c r="AX620" s="899">
        <f>INDEX(V620:AG620,1,MATCH(Parametres!$B$3,V$1:AG$1,0))*IF(OR(C620="L",C620="S",C620="I"),-1,1)</f>
        <v>385</v>
      </c>
      <c r="AY620" s="487" t="s">
        <v>337</v>
      </c>
      <c r="AZ620" s="487" t="str">
        <f>+VLOOKUP($AJ620,Data_Validation!$A:$E,5,0)</f>
        <v>Oui</v>
      </c>
    </row>
    <row r="621" spans="1:52" ht="15" hidden="1" customHeight="1">
      <c r="A621" s="706" t="s">
        <v>1147</v>
      </c>
      <c r="B621" s="706">
        <v>2025</v>
      </c>
      <c r="C621" s="706" t="s">
        <v>2449</v>
      </c>
      <c r="D621" s="706" t="s">
        <v>2450</v>
      </c>
      <c r="E621" s="706" t="s">
        <v>1150</v>
      </c>
      <c r="F621" s="706" t="s">
        <v>1148</v>
      </c>
      <c r="G621" s="706">
        <v>82049.7</v>
      </c>
      <c r="H621" s="706">
        <v>159974.64000000001</v>
      </c>
      <c r="I621" s="706">
        <v>265154.64</v>
      </c>
      <c r="J621" s="706">
        <v>358983.99</v>
      </c>
      <c r="K621" s="706">
        <v>445138.99</v>
      </c>
      <c r="L621" s="706">
        <v>524853.14</v>
      </c>
      <c r="M621" s="706">
        <v>609728.14</v>
      </c>
      <c r="N621" s="706">
        <v>673317.48</v>
      </c>
      <c r="O621" s="706">
        <v>744770.88</v>
      </c>
      <c r="P621" s="706">
        <v>829992.57</v>
      </c>
      <c r="Q621" s="706">
        <v>904632.57</v>
      </c>
      <c r="R621" s="706">
        <v>972085.02</v>
      </c>
      <c r="S621" s="706">
        <v>82239.320000000007</v>
      </c>
      <c r="T621" s="706">
        <v>82239.320000000007</v>
      </c>
      <c r="U621" s="706">
        <v>0</v>
      </c>
      <c r="V621" s="706">
        <v>573</v>
      </c>
      <c r="W621" s="706">
        <v>1100</v>
      </c>
      <c r="X621" s="706">
        <v>1768</v>
      </c>
      <c r="Y621" s="706">
        <v>2409</v>
      </c>
      <c r="Z621" s="706">
        <v>2985</v>
      </c>
      <c r="AA621" s="706">
        <v>3531</v>
      </c>
      <c r="AB621" s="706">
        <v>4142</v>
      </c>
      <c r="AC621" s="706">
        <v>4592</v>
      </c>
      <c r="AD621" s="706">
        <v>5062</v>
      </c>
      <c r="AE621" s="706">
        <v>5613</v>
      </c>
      <c r="AF621" s="706">
        <v>6085</v>
      </c>
      <c r="AG621" s="706">
        <v>6493</v>
      </c>
      <c r="AH621" s="706">
        <v>553</v>
      </c>
      <c r="AI621" s="706">
        <v>553</v>
      </c>
      <c r="AJ621" s="905" t="str">
        <f t="shared" si="60"/>
        <v>G46110</v>
      </c>
      <c r="AK621" s="905" t="str">
        <f t="shared" si="61"/>
        <v>M-D'O CLIENT S.A.A.Q</v>
      </c>
      <c r="AL621" s="905">
        <f>IFERROR(INDEX(G621:R621,1,MATCH(Parametres!$B$3,G$1:R$1,0)-1)*IF(OR(F621="L",F621="S",F621="I"),-1,1),"")</f>
        <v>-904632.57</v>
      </c>
      <c r="AM621" s="905">
        <f t="shared" si="56"/>
        <v>-67452.45000000007</v>
      </c>
      <c r="AN621" s="905">
        <f>INDEX(G621:R621,1,MATCH(Parametres!$B$3,G$1:R$1,0))*IF(OR(F621="L",F621="S",F621="I"),-1,1)</f>
        <v>-972085.02</v>
      </c>
      <c r="AO621" s="487" t="str">
        <f>+VLOOKUP($AJ621,Data_Validation!$A:$D,1,0)</f>
        <v>G46110</v>
      </c>
      <c r="AP621" s="487" t="str">
        <f>+VLOOKUP($AJ621,Data_Validation!$A:$D,3,0)</f>
        <v>SAAQ</v>
      </c>
      <c r="AQ621" s="487" t="str">
        <f>+VLOOKUP($AJ621,Data_Validation!$A:$D,4,0)</f>
        <v>Inspection - Véhicules Légers</v>
      </c>
      <c r="AR621" s="487" t="s">
        <v>299</v>
      </c>
      <c r="AS621" s="487" t="str">
        <f>+VLOOKUP($AJ621,Data_Validation!$A:$E,5,0)</f>
        <v>Oui</v>
      </c>
      <c r="AT621" s="904" t="str">
        <f t="shared" si="57"/>
        <v>G46110</v>
      </c>
      <c r="AU621" s="488" t="str">
        <f t="shared" si="58"/>
        <v>M-D'O CLIENT S.A.A.Q</v>
      </c>
      <c r="AV621" s="899">
        <f>IFERROR(INDEX(V621:AG621,1,MATCH(Parametres!$B$3,V$1:AG$1,0)-1)*IF(OR(C621="L",C621="S",C621="I"),-1,1),"")</f>
        <v>6085</v>
      </c>
      <c r="AW621" s="899">
        <f t="shared" si="59"/>
        <v>408</v>
      </c>
      <c r="AX621" s="899">
        <f>INDEX(V621:AG621,1,MATCH(Parametres!$B$3,V$1:AG$1,0))*IF(OR(C621="L",C621="S",C621="I"),-1,1)</f>
        <v>6493</v>
      </c>
      <c r="AY621" s="487" t="s">
        <v>337</v>
      </c>
      <c r="AZ621" s="487" t="str">
        <f>+VLOOKUP($AJ621,Data_Validation!$A:$E,5,0)</f>
        <v>Oui</v>
      </c>
    </row>
    <row r="622" spans="1:52" ht="15" hidden="1" customHeight="1">
      <c r="A622" s="706" t="s">
        <v>1147</v>
      </c>
      <c r="B622" s="706">
        <v>2025</v>
      </c>
      <c r="C622" s="706" t="s">
        <v>2451</v>
      </c>
      <c r="D622" s="706" t="s">
        <v>2452</v>
      </c>
      <c r="E622" s="706" t="s">
        <v>1150</v>
      </c>
      <c r="F622" s="706" t="s">
        <v>1148</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G46120</v>
      </c>
      <c r="AK622" s="905" t="str">
        <f t="shared" si="61"/>
        <v>M-D'O.CLAIM POIDS MOYENS</v>
      </c>
      <c r="AL622" s="905">
        <f>IFERROR(INDEX(G622:R622,1,MATCH(Parametres!$B$3,G$1:R$1,0)-1)*IF(OR(F622="L",F622="S",F622="I"),-1,1),"")</f>
        <v>0</v>
      </c>
      <c r="AM622" s="905">
        <f t="shared" si="56"/>
        <v>0</v>
      </c>
      <c r="AN622" s="905">
        <f>INDEX(G622:R622,1,MATCH(Parametres!$B$3,G$1:R$1,0))*IF(OR(F622="L",F622="S",F622="I"),-1,1)</f>
        <v>0</v>
      </c>
      <c r="AO622" s="487" t="str">
        <f>+VLOOKUP($AJ622,Data_Validation!$A:$D,1,0)</f>
        <v>G46120</v>
      </c>
      <c r="AP622" s="487" t="str">
        <f>+VLOOKUP($AJ622,Data_Validation!$A:$D,3,0)</f>
        <v>SAAQ</v>
      </c>
      <c r="AQ622" s="487" t="str">
        <f>+VLOOKUP($AJ622,Data_Validation!$A:$D,4,0)</f>
        <v>Inspection - Véhicules Interne</v>
      </c>
      <c r="AR622" s="487" t="s">
        <v>299</v>
      </c>
      <c r="AS622" s="487" t="str">
        <f>+VLOOKUP($AJ622,Data_Validation!$A:$E,5,0)</f>
        <v>Oui</v>
      </c>
      <c r="AT622" s="904" t="str">
        <f t="shared" si="57"/>
        <v>G46120</v>
      </c>
      <c r="AU622" s="488" t="str">
        <f t="shared" si="58"/>
        <v>M-D'O.CLAIM POIDS MOYENS</v>
      </c>
      <c r="AV622" s="899">
        <f>IFERROR(INDEX(V622:AG622,1,MATCH(Parametres!$B$3,V$1:AG$1,0)-1)*IF(OR(C622="L",C622="S",C622="I"),-1,1),"")</f>
        <v>0</v>
      </c>
      <c r="AW622" s="899">
        <f t="shared" si="59"/>
        <v>0</v>
      </c>
      <c r="AX622" s="899">
        <f>INDEX(V622:AG622,1,MATCH(Parametres!$B$3,V$1:AG$1,0))*IF(OR(C622="L",C622="S",C622="I"),-1,1)</f>
        <v>0</v>
      </c>
      <c r="AY622" s="487" t="s">
        <v>337</v>
      </c>
      <c r="AZ622" s="487" t="str">
        <f>+VLOOKUP($AJ622,Data_Validation!$A:$E,5,0)</f>
        <v>Oui</v>
      </c>
    </row>
    <row r="623" spans="1:52" ht="15" hidden="1" customHeight="1">
      <c r="A623" s="706" t="s">
        <v>1147</v>
      </c>
      <c r="B623" s="706">
        <v>2025</v>
      </c>
      <c r="C623" s="706" t="s">
        <v>2453</v>
      </c>
      <c r="D623" s="706" t="s">
        <v>2454</v>
      </c>
      <c r="E623" s="706" t="s">
        <v>1150</v>
      </c>
      <c r="F623" s="706" t="s">
        <v>1148</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G46140</v>
      </c>
      <c r="AK623" s="905" t="str">
        <f t="shared" si="61"/>
        <v>M/O VOLVO BODY</v>
      </c>
      <c r="AL623" s="905">
        <f>IFERROR(INDEX(G623:R623,1,MATCH(Parametres!$B$3,G$1:R$1,0)-1)*IF(OR(F623="L",F623="S",F623="I"),-1,1),"")</f>
        <v>0</v>
      </c>
      <c r="AM623" s="905">
        <f t="shared" si="56"/>
        <v>0</v>
      </c>
      <c r="AN623" s="905">
        <f>INDEX(G623:R623,1,MATCH(Parametres!$B$3,G$1:R$1,0))*IF(OR(F623="L",F623="S",F623="I"),-1,1)</f>
        <v>0</v>
      </c>
      <c r="AO623" s="487" t="str">
        <f>+VLOOKUP($AJ623,Data_Validation!$A:$D,1,0)</f>
        <v>G46140</v>
      </c>
      <c r="AP623" s="487" t="str">
        <f>+VLOOKUP($AJ623,Data_Validation!$A:$D,3,0)</f>
        <v>SAAQ</v>
      </c>
      <c r="AQ623" s="487" t="str">
        <f>+VLOOKUP($AJ623,Data_Validation!$A:$D,4,0)</f>
        <v>Inspection - Véhicules Lourds</v>
      </c>
      <c r="AR623" s="487" t="s">
        <v>299</v>
      </c>
      <c r="AS623" s="487" t="str">
        <f>+VLOOKUP($AJ623,Data_Validation!$A:$E,5,0)</f>
        <v>Oui</v>
      </c>
      <c r="AT623" s="904" t="str">
        <f t="shared" si="57"/>
        <v>G46140</v>
      </c>
      <c r="AU623" s="488" t="str">
        <f t="shared" si="58"/>
        <v>M/O VOLVO BODY</v>
      </c>
      <c r="AV623" s="899">
        <f>IFERROR(INDEX(V623:AG623,1,MATCH(Parametres!$B$3,V$1:AG$1,0)-1)*IF(OR(C623="L",C623="S",C623="I"),-1,1),"")</f>
        <v>0</v>
      </c>
      <c r="AW623" s="899">
        <f t="shared" si="59"/>
        <v>0</v>
      </c>
      <c r="AX623" s="899">
        <f>INDEX(V623:AG623,1,MATCH(Parametres!$B$3,V$1:AG$1,0))*IF(OR(C623="L",C623="S",C623="I"),-1,1)</f>
        <v>0</v>
      </c>
      <c r="AY623" s="487" t="s">
        <v>337</v>
      </c>
      <c r="AZ623" s="487" t="str">
        <f>+VLOOKUP($AJ623,Data_Validation!$A:$E,5,0)</f>
        <v>Oui</v>
      </c>
    </row>
    <row r="624" spans="1:52" ht="15" hidden="1" customHeight="1">
      <c r="A624" s="706" t="s">
        <v>1147</v>
      </c>
      <c r="B624" s="706">
        <v>2025</v>
      </c>
      <c r="C624" s="706" t="s">
        <v>2455</v>
      </c>
      <c r="D624" s="706" t="s">
        <v>2456</v>
      </c>
      <c r="E624" s="706" t="s">
        <v>1150</v>
      </c>
      <c r="F624" s="706" t="s">
        <v>1148</v>
      </c>
      <c r="G624" s="706">
        <v>37948.04</v>
      </c>
      <c r="H624" s="706">
        <v>83868.75</v>
      </c>
      <c r="I624" s="706">
        <v>155228.5</v>
      </c>
      <c r="J624" s="706">
        <v>198404.94</v>
      </c>
      <c r="K624" s="706">
        <v>260162.71</v>
      </c>
      <c r="L624" s="706">
        <v>312653.5</v>
      </c>
      <c r="M624" s="706">
        <v>355068.92</v>
      </c>
      <c r="N624" s="706">
        <v>408921.06</v>
      </c>
      <c r="O624" s="706">
        <v>463669.26</v>
      </c>
      <c r="P624" s="706">
        <v>515066.8</v>
      </c>
      <c r="Q624" s="706">
        <v>545478.01</v>
      </c>
      <c r="R624" s="706">
        <v>584241.68999999994</v>
      </c>
      <c r="S624" s="706">
        <v>49588.91</v>
      </c>
      <c r="T624" s="706">
        <v>49588.91</v>
      </c>
      <c r="U624" s="706">
        <v>0</v>
      </c>
      <c r="V624" s="706">
        <v>267</v>
      </c>
      <c r="W624" s="706">
        <v>531</v>
      </c>
      <c r="X624" s="706">
        <v>895</v>
      </c>
      <c r="Y624" s="706">
        <v>1248</v>
      </c>
      <c r="Z624" s="706">
        <v>1634</v>
      </c>
      <c r="AA624" s="706">
        <v>2011</v>
      </c>
      <c r="AB624" s="706">
        <v>2298</v>
      </c>
      <c r="AC624" s="706">
        <v>2618</v>
      </c>
      <c r="AD624" s="706">
        <v>2946</v>
      </c>
      <c r="AE624" s="706">
        <v>3306</v>
      </c>
      <c r="AF624" s="706">
        <v>3560</v>
      </c>
      <c r="AG624" s="706">
        <v>3812</v>
      </c>
      <c r="AH624" s="706">
        <v>324</v>
      </c>
      <c r="AI624" s="706">
        <v>324</v>
      </c>
      <c r="AJ624" s="905" t="str">
        <f t="shared" si="60"/>
        <v>G46200</v>
      </c>
      <c r="AK624" s="905" t="str">
        <f t="shared" si="61"/>
        <v>VTES-M.D.RECL.GARANTIE</v>
      </c>
      <c r="AL624" s="905">
        <f>IFERROR(INDEX(G624:R624,1,MATCH(Parametres!$B$3,G$1:R$1,0)-1)*IF(OR(F624="L",F624="S",F624="I"),-1,1),"")</f>
        <v>-545478.01</v>
      </c>
      <c r="AM624" s="905">
        <f t="shared" si="56"/>
        <v>-38763.679999999935</v>
      </c>
      <c r="AN624" s="905">
        <f>INDEX(G624:R624,1,MATCH(Parametres!$B$3,G$1:R$1,0))*IF(OR(F624="L",F624="S",F624="I"),-1,1)</f>
        <v>-584241.68999999994</v>
      </c>
      <c r="AO624" s="487" t="str">
        <f>+VLOOKUP($AJ624,Data_Validation!$A:$D,1,0)</f>
        <v>G46200</v>
      </c>
      <c r="AP624" s="487" t="str">
        <f>+VLOOKUP($AJ624,Data_Validation!$A:$D,3,0)</f>
        <v>Service</v>
      </c>
      <c r="AQ624" s="487" t="str">
        <f>+VLOOKUP($AJ624,Data_Validation!$A:$D,4,0)</f>
        <v>M/O Garantie</v>
      </c>
      <c r="AR624" s="487" t="s">
        <v>299</v>
      </c>
      <c r="AS624" s="487" t="str">
        <f>+VLOOKUP($AJ624,Data_Validation!$A:$E,5,0)</f>
        <v>Oui</v>
      </c>
      <c r="AT624" s="904" t="str">
        <f t="shared" si="57"/>
        <v>G46200</v>
      </c>
      <c r="AU624" s="488" t="str">
        <f t="shared" si="58"/>
        <v>VTES-M.D.RECL.GARANTIE</v>
      </c>
      <c r="AV624" s="899">
        <f>IFERROR(INDEX(V624:AG624,1,MATCH(Parametres!$B$3,V$1:AG$1,0)-1)*IF(OR(C624="L",C624="S",C624="I"),-1,1),"")</f>
        <v>3560</v>
      </c>
      <c r="AW624" s="899">
        <f t="shared" si="59"/>
        <v>252</v>
      </c>
      <c r="AX624" s="899">
        <f>INDEX(V624:AG624,1,MATCH(Parametres!$B$3,V$1:AG$1,0))*IF(OR(C624="L",C624="S",C624="I"),-1,1)</f>
        <v>3812</v>
      </c>
      <c r="AY624" s="487" t="s">
        <v>337</v>
      </c>
      <c r="AZ624" s="487" t="str">
        <f>+VLOOKUP($AJ624,Data_Validation!$A:$E,5,0)</f>
        <v>Oui</v>
      </c>
    </row>
    <row r="625" spans="1:52" ht="15" hidden="1" customHeight="1">
      <c r="A625" s="706" t="s">
        <v>1147</v>
      </c>
      <c r="B625" s="706">
        <v>2025</v>
      </c>
      <c r="C625" s="706" t="s">
        <v>2457</v>
      </c>
      <c r="D625" s="706" t="s">
        <v>2458</v>
      </c>
      <c r="E625" s="706" t="s">
        <v>1150</v>
      </c>
      <c r="F625" s="706" t="s">
        <v>1148</v>
      </c>
      <c r="G625" s="706">
        <v>40125.78</v>
      </c>
      <c r="H625" s="706">
        <v>66201.490000000005</v>
      </c>
      <c r="I625" s="706">
        <v>106122.2</v>
      </c>
      <c r="J625" s="706">
        <v>155430.16</v>
      </c>
      <c r="K625" s="706">
        <v>208713.58</v>
      </c>
      <c r="L625" s="706">
        <v>248990</v>
      </c>
      <c r="M625" s="706">
        <v>284682.55</v>
      </c>
      <c r="N625" s="706">
        <v>327663.19</v>
      </c>
      <c r="O625" s="706">
        <v>368585.1</v>
      </c>
      <c r="P625" s="706">
        <v>416281.53</v>
      </c>
      <c r="Q625" s="706">
        <v>461543.18</v>
      </c>
      <c r="R625" s="706">
        <v>496403.83</v>
      </c>
      <c r="S625" s="706">
        <v>41958.47</v>
      </c>
      <c r="T625" s="706">
        <v>41958.47</v>
      </c>
      <c r="U625" s="706">
        <v>0</v>
      </c>
      <c r="V625" s="706">
        <v>289</v>
      </c>
      <c r="W625" s="706">
        <v>485</v>
      </c>
      <c r="X625" s="706">
        <v>824</v>
      </c>
      <c r="Y625" s="706">
        <v>1231</v>
      </c>
      <c r="Z625" s="706">
        <v>1707</v>
      </c>
      <c r="AA625" s="706">
        <v>2062</v>
      </c>
      <c r="AB625" s="706">
        <v>2332</v>
      </c>
      <c r="AC625" s="706">
        <v>2606</v>
      </c>
      <c r="AD625" s="706">
        <v>2937</v>
      </c>
      <c r="AE625" s="706">
        <v>3304</v>
      </c>
      <c r="AF625" s="706">
        <v>3627</v>
      </c>
      <c r="AG625" s="706">
        <v>3861</v>
      </c>
      <c r="AH625" s="706">
        <v>330</v>
      </c>
      <c r="AI625" s="706">
        <v>330</v>
      </c>
      <c r="AJ625" s="905" t="str">
        <f t="shared" si="60"/>
        <v>G46300</v>
      </c>
      <c r="AK625" s="905" t="str">
        <f t="shared" si="61"/>
        <v>VTES-M.D. INTERNE SERV.</v>
      </c>
      <c r="AL625" s="905">
        <f>IFERROR(INDEX(G625:R625,1,MATCH(Parametres!$B$3,G$1:R$1,0)-1)*IF(OR(F625="L",F625="S",F625="I"),-1,1),"")</f>
        <v>-461543.18</v>
      </c>
      <c r="AM625" s="905">
        <f t="shared" si="56"/>
        <v>-34860.650000000023</v>
      </c>
      <c r="AN625" s="905">
        <f>INDEX(G625:R625,1,MATCH(Parametres!$B$3,G$1:R$1,0))*IF(OR(F625="L",F625="S",F625="I"),-1,1)</f>
        <v>-496403.83</v>
      </c>
      <c r="AO625" s="487" t="str">
        <f>+VLOOKUP($AJ625,Data_Validation!$A:$D,1,0)</f>
        <v>G46300</v>
      </c>
      <c r="AP625" s="487" t="str">
        <f>+VLOOKUP($AJ625,Data_Validation!$A:$D,3,0)</f>
        <v>Service</v>
      </c>
      <c r="AQ625" s="487" t="str">
        <f>+VLOOKUP($AJ625,Data_Validation!$A:$D,4,0)</f>
        <v>M/O Interne</v>
      </c>
      <c r="AR625" s="487" t="s">
        <v>299</v>
      </c>
      <c r="AS625" s="487" t="str">
        <f>+VLOOKUP($AJ625,Data_Validation!$A:$E,5,0)</f>
        <v>Oui</v>
      </c>
      <c r="AT625" s="904" t="str">
        <f t="shared" si="57"/>
        <v>G46300</v>
      </c>
      <c r="AU625" s="488" t="str">
        <f t="shared" si="58"/>
        <v>VTES-M.D. INTERNE SERV.</v>
      </c>
      <c r="AV625" s="899">
        <f>IFERROR(INDEX(V625:AG625,1,MATCH(Parametres!$B$3,V$1:AG$1,0)-1)*IF(OR(C625="L",C625="S",C625="I"),-1,1),"")</f>
        <v>3627</v>
      </c>
      <c r="AW625" s="899">
        <f t="shared" si="59"/>
        <v>234</v>
      </c>
      <c r="AX625" s="899">
        <f>INDEX(V625:AG625,1,MATCH(Parametres!$B$3,V$1:AG$1,0))*IF(OR(C625="L",C625="S",C625="I"),-1,1)</f>
        <v>3861</v>
      </c>
      <c r="AY625" s="487" t="s">
        <v>337</v>
      </c>
      <c r="AZ625" s="487" t="str">
        <f>+VLOOKUP($AJ625,Data_Validation!$A:$E,5,0)</f>
        <v>Oui</v>
      </c>
    </row>
    <row r="626" spans="1:52" ht="15" hidden="1" customHeight="1">
      <c r="A626" s="706" t="s">
        <v>1147</v>
      </c>
      <c r="B626" s="706">
        <v>2025</v>
      </c>
      <c r="C626" s="706" t="s">
        <v>2459</v>
      </c>
      <c r="D626" s="706" t="s">
        <v>2460</v>
      </c>
      <c r="E626" s="706" t="s">
        <v>1150</v>
      </c>
      <c r="F626" s="706" t="s">
        <v>1148</v>
      </c>
      <c r="G626" s="706">
        <v>130</v>
      </c>
      <c r="H626" s="706">
        <v>130</v>
      </c>
      <c r="I626" s="706">
        <v>260</v>
      </c>
      <c r="J626" s="706">
        <v>520</v>
      </c>
      <c r="K626" s="706">
        <v>1650</v>
      </c>
      <c r="L626" s="706">
        <v>3150</v>
      </c>
      <c r="M626" s="706">
        <v>6410</v>
      </c>
      <c r="N626" s="706">
        <v>8205</v>
      </c>
      <c r="O626" s="706">
        <v>9155</v>
      </c>
      <c r="P626" s="706">
        <v>11010</v>
      </c>
      <c r="Q626" s="706">
        <v>13135</v>
      </c>
      <c r="R626" s="706">
        <v>13470</v>
      </c>
      <c r="S626" s="706">
        <v>1194.0899999999999</v>
      </c>
      <c r="T626" s="706">
        <v>1194.0899999999999</v>
      </c>
      <c r="U626" s="706">
        <v>0</v>
      </c>
      <c r="V626" s="706">
        <v>1</v>
      </c>
      <c r="W626" s="706">
        <v>1</v>
      </c>
      <c r="X626" s="706">
        <v>2</v>
      </c>
      <c r="Y626" s="706">
        <v>4</v>
      </c>
      <c r="Z626" s="706">
        <v>14</v>
      </c>
      <c r="AA626" s="706">
        <v>27</v>
      </c>
      <c r="AB626" s="706">
        <v>53</v>
      </c>
      <c r="AC626" s="706">
        <v>69</v>
      </c>
      <c r="AD626" s="706">
        <v>77</v>
      </c>
      <c r="AE626" s="706">
        <v>92</v>
      </c>
      <c r="AF626" s="706">
        <v>108</v>
      </c>
      <c r="AG626" s="706">
        <v>111</v>
      </c>
      <c r="AH626" s="706">
        <v>10</v>
      </c>
      <c r="AI626" s="706">
        <v>10</v>
      </c>
      <c r="AJ626" s="905" t="str">
        <f t="shared" si="60"/>
        <v>G46320</v>
      </c>
      <c r="AK626" s="905" t="str">
        <f t="shared" si="61"/>
        <v>VTES-MO INTERN CAM MOYEN</v>
      </c>
      <c r="AL626" s="905">
        <f>IFERROR(INDEX(G626:R626,1,MATCH(Parametres!$B$3,G$1:R$1,0)-1)*IF(OR(F626="L",F626="S",F626="I"),-1,1),"")</f>
        <v>-13135</v>
      </c>
      <c r="AM626" s="905">
        <f t="shared" si="56"/>
        <v>-335</v>
      </c>
      <c r="AN626" s="905">
        <f>INDEX(G626:R626,1,MATCH(Parametres!$B$3,G$1:R$1,0))*IF(OR(F626="L",F626="S",F626="I"),-1,1)</f>
        <v>-13470</v>
      </c>
      <c r="AO626" s="487" t="str">
        <f>+VLOOKUP($AJ626,Data_Validation!$A:$D,1,0)</f>
        <v>G46320</v>
      </c>
      <c r="AP626" s="487" t="str">
        <f>+VLOOKUP($AJ626,Data_Validation!$A:$D,3,0)</f>
        <v>SAAQ</v>
      </c>
      <c r="AQ626" s="487" t="str">
        <f>+VLOOKUP($AJ626,Data_Validation!$A:$D,4,0)</f>
        <v>Inspection - Véhicules Interne</v>
      </c>
      <c r="AR626" s="487" t="s">
        <v>299</v>
      </c>
      <c r="AS626" s="487" t="str">
        <f>+VLOOKUP($AJ626,Data_Validation!$A:$E,5,0)</f>
        <v>Oui</v>
      </c>
      <c r="AT626" s="904" t="str">
        <f t="shared" si="57"/>
        <v>G46320</v>
      </c>
      <c r="AU626" s="488" t="str">
        <f t="shared" si="58"/>
        <v>VTES-MO INTERN CAM MOYEN</v>
      </c>
      <c r="AV626" s="899">
        <f>IFERROR(INDEX(V626:AG626,1,MATCH(Parametres!$B$3,V$1:AG$1,0)-1)*IF(OR(C626="L",C626="S",C626="I"),-1,1),"")</f>
        <v>108</v>
      </c>
      <c r="AW626" s="899">
        <f t="shared" si="59"/>
        <v>3</v>
      </c>
      <c r="AX626" s="899">
        <f>INDEX(V626:AG626,1,MATCH(Parametres!$B$3,V$1:AG$1,0))*IF(OR(C626="L",C626="S",C626="I"),-1,1)</f>
        <v>111</v>
      </c>
      <c r="AY626" s="487" t="s">
        <v>337</v>
      </c>
      <c r="AZ626" s="487" t="str">
        <f>+VLOOKUP($AJ626,Data_Validation!$A:$E,5,0)</f>
        <v>Oui</v>
      </c>
    </row>
    <row r="627" spans="1:52" ht="15" hidden="1" customHeight="1">
      <c r="A627" s="706" t="s">
        <v>1147</v>
      </c>
      <c r="B627" s="706">
        <v>2025</v>
      </c>
      <c r="C627" s="706" t="s">
        <v>2461</v>
      </c>
      <c r="D627" s="706" t="s">
        <v>2462</v>
      </c>
      <c r="E627" s="706" t="s">
        <v>1150</v>
      </c>
      <c r="F627" s="706" t="s">
        <v>1148</v>
      </c>
      <c r="G627" s="706">
        <v>27332.73</v>
      </c>
      <c r="H627" s="706">
        <v>49192.88</v>
      </c>
      <c r="I627" s="706">
        <v>86189.69</v>
      </c>
      <c r="J627" s="706">
        <v>123816.61</v>
      </c>
      <c r="K627" s="706">
        <v>166283.57</v>
      </c>
      <c r="L627" s="706">
        <v>216911.51</v>
      </c>
      <c r="M627" s="706">
        <v>244455.63</v>
      </c>
      <c r="N627" s="706">
        <v>250558.5</v>
      </c>
      <c r="O627" s="706">
        <v>278212.81</v>
      </c>
      <c r="P627" s="706">
        <v>311313.93</v>
      </c>
      <c r="Q627" s="706">
        <v>325210.32</v>
      </c>
      <c r="R627" s="706">
        <v>346491.07</v>
      </c>
      <c r="S627" s="706">
        <v>29564.57</v>
      </c>
      <c r="T627" s="706">
        <v>29564.57</v>
      </c>
      <c r="U627" s="706">
        <v>0</v>
      </c>
      <c r="V627" s="706">
        <v>183</v>
      </c>
      <c r="W627" s="706">
        <v>325</v>
      </c>
      <c r="X627" s="706">
        <v>568</v>
      </c>
      <c r="Y627" s="706">
        <v>820</v>
      </c>
      <c r="Z627" s="706">
        <v>1107</v>
      </c>
      <c r="AA627" s="706">
        <v>1443</v>
      </c>
      <c r="AB627" s="706">
        <v>1628</v>
      </c>
      <c r="AC627" s="706">
        <v>1718</v>
      </c>
      <c r="AD627" s="706">
        <v>1904</v>
      </c>
      <c r="AE627" s="706">
        <v>2115</v>
      </c>
      <c r="AF627" s="706">
        <v>2204</v>
      </c>
      <c r="AG627" s="706">
        <v>2345</v>
      </c>
      <c r="AH627" s="706">
        <v>200</v>
      </c>
      <c r="AI627" s="706">
        <v>200</v>
      </c>
      <c r="AJ627" s="905" t="str">
        <f t="shared" si="60"/>
        <v>G46400</v>
      </c>
      <c r="AK627" s="905" t="str">
        <f t="shared" si="61"/>
        <v>VTES-M.D. INSPECTION</v>
      </c>
      <c r="AL627" s="905">
        <f>IFERROR(INDEX(G627:R627,1,MATCH(Parametres!$B$3,G$1:R$1,0)-1)*IF(OR(F627="L",F627="S",F627="I"),-1,1),"")</f>
        <v>-325210.32</v>
      </c>
      <c r="AM627" s="905">
        <f t="shared" si="56"/>
        <v>-21280.75</v>
      </c>
      <c r="AN627" s="905">
        <f>INDEX(G627:R627,1,MATCH(Parametres!$B$3,G$1:R$1,0))*IF(OR(F627="L",F627="S",F627="I"),-1,1)</f>
        <v>-346491.07</v>
      </c>
      <c r="AO627" s="487" t="str">
        <f>+VLOOKUP($AJ627,Data_Validation!$A:$D,1,0)</f>
        <v>G46400</v>
      </c>
      <c r="AP627" s="487" t="str">
        <f>+VLOOKUP($AJ627,Data_Validation!$A:$D,3,0)</f>
        <v>Service</v>
      </c>
      <c r="AQ627" s="487" t="str">
        <f>+VLOOKUP($AJ627,Data_Validation!$A:$D,4,0)</f>
        <v>M/O Interne</v>
      </c>
      <c r="AR627" s="487" t="s">
        <v>299</v>
      </c>
      <c r="AS627" s="487" t="str">
        <f>+VLOOKUP($AJ627,Data_Validation!$A:$E,5,0)</f>
        <v>Oui</v>
      </c>
      <c r="AT627" s="904" t="str">
        <f t="shared" si="57"/>
        <v>G46400</v>
      </c>
      <c r="AU627" s="488" t="str">
        <f t="shared" si="58"/>
        <v>VTES-M.D. INSPECTION</v>
      </c>
      <c r="AV627" s="899">
        <f>IFERROR(INDEX(V627:AG627,1,MATCH(Parametres!$B$3,V$1:AG$1,0)-1)*IF(OR(C627="L",C627="S",C627="I"),-1,1),"")</f>
        <v>2204</v>
      </c>
      <c r="AW627" s="899">
        <f t="shared" si="59"/>
        <v>141</v>
      </c>
      <c r="AX627" s="899">
        <f>INDEX(V627:AG627,1,MATCH(Parametres!$B$3,V$1:AG$1,0))*IF(OR(C627="L",C627="S",C627="I"),-1,1)</f>
        <v>2345</v>
      </c>
      <c r="AY627" s="487" t="s">
        <v>337</v>
      </c>
      <c r="AZ627" s="487" t="str">
        <f>+VLOOKUP($AJ627,Data_Validation!$A:$E,5,0)</f>
        <v>Oui</v>
      </c>
    </row>
    <row r="628" spans="1:52" ht="15" customHeight="1">
      <c r="A628" s="706" t="s">
        <v>1147</v>
      </c>
      <c r="B628" s="706">
        <v>2025</v>
      </c>
      <c r="C628" s="706" t="s">
        <v>2463</v>
      </c>
      <c r="D628" s="706" t="s">
        <v>2464</v>
      </c>
      <c r="E628" s="706" t="s">
        <v>1150</v>
      </c>
      <c r="F628" s="706" t="s">
        <v>1148</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G46420</v>
      </c>
      <c r="AK628" s="905" t="str">
        <f t="shared" si="61"/>
        <v>VTES-MO PDI CAM MOYEN</v>
      </c>
      <c r="AL628" s="905">
        <f>IFERROR(INDEX(G628:R628,1,MATCH(Parametres!$B$3,G$1:R$1,0)-1)*IF(OR(F628="L",F628="S",F628="I"),-1,1),"")</f>
        <v>0</v>
      </c>
      <c r="AM628" s="905">
        <f t="shared" si="56"/>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G46420</v>
      </c>
      <c r="AU628" s="488" t="str">
        <f t="shared" si="58"/>
        <v>VTES-MO PDI CAM MOYEN</v>
      </c>
      <c r="AV628" s="899">
        <f>IFERROR(INDEX(V628:AG628,1,MATCH(Parametres!$B$3,V$1:AG$1,0)-1)*IF(OR(C628="L",C628="S",C628="I"),-1,1),"")</f>
        <v>0</v>
      </c>
      <c r="AW628" s="899">
        <f t="shared" si="59"/>
        <v>0</v>
      </c>
      <c r="AX628" s="899">
        <f>INDEX(V628:AG628,1,MATCH(Parametres!$B$3,V$1:AG$1,0))*IF(OR(C628="L",C628="S",C628="I"),-1,1)</f>
        <v>0</v>
      </c>
      <c r="AY628" s="487" t="s">
        <v>337</v>
      </c>
      <c r="AZ628" s="487" t="e">
        <f>+VLOOKUP($AJ628,Data_Validation!$A:$E,5,0)</f>
        <v>#N/A</v>
      </c>
    </row>
    <row r="629" spans="1:52" ht="15" customHeight="1">
      <c r="A629" s="706" t="s">
        <v>1147</v>
      </c>
      <c r="B629" s="706">
        <v>2025</v>
      </c>
      <c r="C629" s="706" t="s">
        <v>2465</v>
      </c>
      <c r="D629" s="706" t="s">
        <v>2466</v>
      </c>
      <c r="E629" s="706" t="s">
        <v>333</v>
      </c>
      <c r="F629" s="706" t="s">
        <v>1148</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G46500</v>
      </c>
      <c r="AK629" s="905" t="str">
        <f t="shared" si="61"/>
        <v>*TEMPS PERDU SERVICE</v>
      </c>
      <c r="AL629" s="905">
        <f>IFERROR(INDEX(G629:R629,1,MATCH(Parametres!$B$3,G$1:R$1,0)-1)*IF(OR(F629="L",F629="S",F629="I"),-1,1),"")</f>
        <v>0</v>
      </c>
      <c r="AM629" s="905">
        <f t="shared" si="56"/>
        <v>0</v>
      </c>
      <c r="AN629" s="905">
        <f>INDEX(G629:R629,1,MATCH(Parametres!$B$3,G$1:R$1,0))*IF(OR(F629="L",F629="S",F629="I"),-1,1)</f>
        <v>0</v>
      </c>
      <c r="AO629" s="487" t="str">
        <f>+VLOOKUP($AJ629,Data_Validation!$A:$D,1,0)</f>
        <v>G46500</v>
      </c>
      <c r="AP629" s="487">
        <f>+VLOOKUP($AJ629,Data_Validation!$A:$D,3,0)</f>
        <v>0</v>
      </c>
      <c r="AQ629" s="487">
        <f>+VLOOKUP($AJ629,Data_Validation!$A:$D,4,0)</f>
        <v>0</v>
      </c>
      <c r="AR629" s="487" t="s">
        <v>299</v>
      </c>
      <c r="AS629" s="487">
        <f>+VLOOKUP($AJ629,Data_Validation!$A:$E,5,0)</f>
        <v>0</v>
      </c>
      <c r="AT629" s="904" t="str">
        <f t="shared" si="57"/>
        <v>G46500</v>
      </c>
      <c r="AU629" s="488" t="str">
        <f t="shared" si="58"/>
        <v>*TEMPS PERDU SERVICE</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hidden="1" customHeight="1">
      <c r="A630" s="706" t="s">
        <v>1147</v>
      </c>
      <c r="B630" s="706">
        <v>2025</v>
      </c>
      <c r="C630" s="706" t="s">
        <v>2467</v>
      </c>
      <c r="D630" s="706" t="s">
        <v>2468</v>
      </c>
      <c r="E630" s="706" t="s">
        <v>1150</v>
      </c>
      <c r="F630" s="706" t="s">
        <v>1148</v>
      </c>
      <c r="G630" s="706">
        <v>15975.15</v>
      </c>
      <c r="H630" s="706">
        <v>28585.81</v>
      </c>
      <c r="I630" s="706">
        <v>40703.51</v>
      </c>
      <c r="J630" s="706">
        <v>73484.88</v>
      </c>
      <c r="K630" s="706">
        <v>93001.79</v>
      </c>
      <c r="L630" s="706">
        <v>124252.97</v>
      </c>
      <c r="M630" s="706">
        <v>144868.96</v>
      </c>
      <c r="N630" s="706">
        <v>169245.39</v>
      </c>
      <c r="O630" s="706">
        <v>186401.84</v>
      </c>
      <c r="P630" s="706">
        <v>211805.63</v>
      </c>
      <c r="Q630" s="706">
        <v>223089.76</v>
      </c>
      <c r="R630" s="706">
        <v>231465.46</v>
      </c>
      <c r="S630" s="706">
        <v>20280.89</v>
      </c>
      <c r="T630" s="706">
        <v>20280.89</v>
      </c>
      <c r="U630" s="706">
        <v>0</v>
      </c>
      <c r="V630" s="706">
        <v>37</v>
      </c>
      <c r="W630" s="706">
        <v>69</v>
      </c>
      <c r="X630" s="706">
        <v>102</v>
      </c>
      <c r="Y630" s="706">
        <v>182</v>
      </c>
      <c r="Z630" s="706">
        <v>236</v>
      </c>
      <c r="AA630" s="706">
        <v>298</v>
      </c>
      <c r="AB630" s="706">
        <v>348</v>
      </c>
      <c r="AC630" s="706">
        <v>400</v>
      </c>
      <c r="AD630" s="706">
        <v>444</v>
      </c>
      <c r="AE630" s="706">
        <v>492</v>
      </c>
      <c r="AF630" s="706">
        <v>525</v>
      </c>
      <c r="AG630" s="706">
        <v>551</v>
      </c>
      <c r="AH630" s="706">
        <v>48</v>
      </c>
      <c r="AI630" s="706">
        <v>48</v>
      </c>
      <c r="AJ630" s="905" t="str">
        <f t="shared" si="60"/>
        <v>G46600</v>
      </c>
      <c r="AK630" s="905" t="str">
        <f t="shared" si="61"/>
        <v>VTES-REPARAT.SOUS-TRAITES</v>
      </c>
      <c r="AL630" s="905">
        <f>IFERROR(INDEX(G630:R630,1,MATCH(Parametres!$B$3,G$1:R$1,0)-1)*IF(OR(F630="L",F630="S",F630="I"),-1,1),"")</f>
        <v>-223089.76</v>
      </c>
      <c r="AM630" s="905">
        <f t="shared" si="56"/>
        <v>-8375.6999999999825</v>
      </c>
      <c r="AN630" s="905">
        <f>INDEX(G630:R630,1,MATCH(Parametres!$B$3,G$1:R$1,0))*IF(OR(F630="L",F630="S",F630="I"),-1,1)</f>
        <v>-231465.46</v>
      </c>
      <c r="AO630" s="487" t="str">
        <f>+VLOOKUP($AJ630,Data_Validation!$A:$D,1,0)</f>
        <v>G46600</v>
      </c>
      <c r="AP630" s="487" t="str">
        <f>+VLOOKUP($AJ630,Data_Validation!$A:$D,3,0)</f>
        <v>Service</v>
      </c>
      <c r="AQ630" s="487" t="str">
        <f>+VLOOKUP($AJ630,Data_Validation!$A:$D,4,0)</f>
        <v>Sous-traitement</v>
      </c>
      <c r="AR630" s="487" t="s">
        <v>299</v>
      </c>
      <c r="AS630" s="487" t="str">
        <f>+VLOOKUP($AJ630,Data_Validation!$A:$E,5,0)</f>
        <v>Oui</v>
      </c>
      <c r="AT630" s="904" t="str">
        <f t="shared" si="57"/>
        <v>G46600</v>
      </c>
      <c r="AU630" s="488" t="str">
        <f t="shared" si="58"/>
        <v>VTES-REPARAT.SOUS-TRAITES</v>
      </c>
      <c r="AV630" s="899">
        <f>IFERROR(INDEX(V630:AG630,1,MATCH(Parametres!$B$3,V$1:AG$1,0)-1)*IF(OR(C630="L",C630="S",C630="I"),-1,1),"")</f>
        <v>525</v>
      </c>
      <c r="AW630" s="899">
        <f t="shared" si="59"/>
        <v>26</v>
      </c>
      <c r="AX630" s="899">
        <f>INDEX(V630:AG630,1,MATCH(Parametres!$B$3,V$1:AG$1,0))*IF(OR(C630="L",C630="S",C630="I"),-1,1)</f>
        <v>551</v>
      </c>
      <c r="AY630" s="487" t="s">
        <v>337</v>
      </c>
      <c r="AZ630" s="487" t="str">
        <f>+VLOOKUP($AJ630,Data_Validation!$A:$E,5,0)</f>
        <v>Oui</v>
      </c>
    </row>
    <row r="631" spans="1:52" ht="15" hidden="1" customHeight="1">
      <c r="A631" s="706" t="s">
        <v>1147</v>
      </c>
      <c r="B631" s="706">
        <v>2025</v>
      </c>
      <c r="C631" s="706" t="s">
        <v>2469</v>
      </c>
      <c r="D631" s="706" t="s">
        <v>2470</v>
      </c>
      <c r="E631" s="706" t="s">
        <v>1150</v>
      </c>
      <c r="F631" s="706" t="s">
        <v>1148</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G46610</v>
      </c>
      <c r="AK631" s="905" t="str">
        <f t="shared" si="61"/>
        <v>VTES-REPARAT.PARE-BRISES</v>
      </c>
      <c r="AL631" s="905">
        <f>IFERROR(INDEX(G631:R631,1,MATCH(Parametres!$B$3,G$1:R$1,0)-1)*IF(OR(F631="L",F631="S",F631="I"),-1,1),"")</f>
        <v>0</v>
      </c>
      <c r="AM631" s="905">
        <f t="shared" si="56"/>
        <v>0</v>
      </c>
      <c r="AN631" s="905">
        <f>INDEX(G631:R631,1,MATCH(Parametres!$B$3,G$1:R$1,0))*IF(OR(F631="L",F631="S",F631="I"),-1,1)</f>
        <v>0</v>
      </c>
      <c r="AO631" s="487" t="str">
        <f>+VLOOKUP($AJ631,Data_Validation!$A:$D,1,0)</f>
        <v>G46610</v>
      </c>
      <c r="AP631" s="487" t="str">
        <f>+VLOOKUP($AJ631,Data_Validation!$A:$D,3,0)</f>
        <v>SAAQ</v>
      </c>
      <c r="AQ631" s="487" t="str">
        <f>+VLOOKUP($AJ631,Data_Validation!$A:$D,4,0)</f>
        <v>Inspection - Véhicules Interne</v>
      </c>
      <c r="AR631" s="487" t="s">
        <v>299</v>
      </c>
      <c r="AS631" s="487" t="str">
        <f>+VLOOKUP($AJ631,Data_Validation!$A:$E,5,0)</f>
        <v>Oui</v>
      </c>
      <c r="AT631" s="904" t="str">
        <f t="shared" si="57"/>
        <v>G46610</v>
      </c>
      <c r="AU631" s="488" t="str">
        <f t="shared" si="58"/>
        <v>VTES-REPARAT.PARE-BRISES</v>
      </c>
      <c r="AV631" s="899">
        <f>IFERROR(INDEX(V631:AG631,1,MATCH(Parametres!$B$3,V$1:AG$1,0)-1)*IF(OR(C631="L",C631="S",C631="I"),-1,1),"")</f>
        <v>0</v>
      </c>
      <c r="AW631" s="899">
        <f t="shared" si="59"/>
        <v>0</v>
      </c>
      <c r="AX631" s="899">
        <f>INDEX(V631:AG631,1,MATCH(Parametres!$B$3,V$1:AG$1,0))*IF(OR(C631="L",C631="S",C631="I"),-1,1)</f>
        <v>0</v>
      </c>
      <c r="AY631" s="487" t="s">
        <v>337</v>
      </c>
      <c r="AZ631" s="487" t="str">
        <f>+VLOOKUP($AJ631,Data_Validation!$A:$E,5,0)</f>
        <v>Oui</v>
      </c>
    </row>
    <row r="632" spans="1:52" ht="15" customHeight="1">
      <c r="A632" s="706" t="s">
        <v>1147</v>
      </c>
      <c r="B632" s="706">
        <v>2025</v>
      </c>
      <c r="C632" s="706" t="s">
        <v>2471</v>
      </c>
      <c r="D632" s="706" t="s">
        <v>2472</v>
      </c>
      <c r="E632" s="706" t="s">
        <v>1150</v>
      </c>
      <c r="F632" s="706" t="s">
        <v>1148</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G46611</v>
      </c>
      <c r="AK632" s="905" t="str">
        <f t="shared" si="61"/>
        <v>SUPER VITRE VENTE SUBLET</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G46611</v>
      </c>
      <c r="AU632" s="488" t="str">
        <f t="shared" si="58"/>
        <v>SUPER VITRE VENTE SUBLET</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1147</v>
      </c>
      <c r="B633" s="706">
        <v>2025</v>
      </c>
      <c r="C633" s="706" t="s">
        <v>2473</v>
      </c>
      <c r="D633" s="706" t="s">
        <v>2474</v>
      </c>
      <c r="E633" s="706" t="s">
        <v>1150</v>
      </c>
      <c r="F633" s="706" t="s">
        <v>1148</v>
      </c>
      <c r="G633" s="706">
        <v>60411.33</v>
      </c>
      <c r="H633" s="706">
        <v>113994.13</v>
      </c>
      <c r="I633" s="706">
        <v>167672.70000000001</v>
      </c>
      <c r="J633" s="706">
        <v>232257.05</v>
      </c>
      <c r="K633" s="706">
        <v>307613.48</v>
      </c>
      <c r="L633" s="706">
        <v>358388.27</v>
      </c>
      <c r="M633" s="706">
        <v>414458.15</v>
      </c>
      <c r="N633" s="706">
        <v>463158.49</v>
      </c>
      <c r="O633" s="706">
        <v>517441.14</v>
      </c>
      <c r="P633" s="706">
        <v>593994.91</v>
      </c>
      <c r="Q633" s="706">
        <v>668073.43999999994</v>
      </c>
      <c r="R633" s="706">
        <v>734826.7</v>
      </c>
      <c r="S633" s="706">
        <v>60733.95</v>
      </c>
      <c r="T633" s="706">
        <v>60733.95</v>
      </c>
      <c r="U633" s="706">
        <v>0</v>
      </c>
      <c r="V633" s="706">
        <v>162</v>
      </c>
      <c r="W633" s="706">
        <v>306</v>
      </c>
      <c r="X633" s="706">
        <v>464</v>
      </c>
      <c r="Y633" s="706">
        <v>677</v>
      </c>
      <c r="Z633" s="706">
        <v>911</v>
      </c>
      <c r="AA633" s="706">
        <v>1101</v>
      </c>
      <c r="AB633" s="706">
        <v>1289</v>
      </c>
      <c r="AC633" s="706">
        <v>1480</v>
      </c>
      <c r="AD633" s="706">
        <v>1657</v>
      </c>
      <c r="AE633" s="706">
        <v>1893</v>
      </c>
      <c r="AF633" s="706">
        <v>2129</v>
      </c>
      <c r="AG633" s="706">
        <v>2283</v>
      </c>
      <c r="AH633" s="706">
        <v>194</v>
      </c>
      <c r="AI633" s="706">
        <v>194</v>
      </c>
      <c r="AJ633" s="905" t="str">
        <f t="shared" si="60"/>
        <v>G46710</v>
      </c>
      <c r="AK633" s="905" t="str">
        <f t="shared" si="61"/>
        <v>VTES PI SERV.VOIT&amp;CAM LEG</v>
      </c>
      <c r="AL633" s="905">
        <f>IFERROR(INDEX(G633:R633,1,MATCH(Parametres!$B$3,G$1:R$1,0)-1)*IF(OR(F633="L",F633="S",F633="I"),-1,1),"")</f>
        <v>-668073.43999999994</v>
      </c>
      <c r="AM633" s="905">
        <f t="shared" si="56"/>
        <v>-66753.260000000009</v>
      </c>
      <c r="AN633" s="905">
        <f>INDEX(G633:R633,1,MATCH(Parametres!$B$3,G$1:R$1,0))*IF(OR(F633="L",F633="S",F633="I"),-1,1)</f>
        <v>-734826.7</v>
      </c>
      <c r="AO633" s="487" t="str">
        <f>+VLOOKUP($AJ633,Data_Validation!$A:$D,1,0)</f>
        <v>G46710</v>
      </c>
      <c r="AP633" s="487" t="str">
        <f>+VLOOKUP($AJ633,Data_Validation!$A:$D,3,0)</f>
        <v>Pièces</v>
      </c>
      <c r="AQ633" s="487" t="str">
        <f>+VLOOKUP($AJ633,Data_Validation!$A:$D,4,0)</f>
        <v>Pièces Ro Clients</v>
      </c>
      <c r="AR633" s="487" t="s">
        <v>299</v>
      </c>
      <c r="AS633" s="487" t="str">
        <f>+VLOOKUP($AJ633,Data_Validation!$A:$E,5,0)</f>
        <v>Oui</v>
      </c>
      <c r="AT633" s="904" t="str">
        <f t="shared" si="57"/>
        <v>G46710</v>
      </c>
      <c r="AU633" s="488" t="str">
        <f t="shared" si="58"/>
        <v>VTES PI SERV.VOIT&amp;CAM LEG</v>
      </c>
      <c r="AV633" s="899">
        <f>IFERROR(INDEX(V633:AG633,1,MATCH(Parametres!$B$3,V$1:AG$1,0)-1)*IF(OR(C633="L",C633="S",C633="I"),-1,1),"")</f>
        <v>2129</v>
      </c>
      <c r="AW633" s="899">
        <f t="shared" si="59"/>
        <v>154</v>
      </c>
      <c r="AX633" s="899">
        <f>INDEX(V633:AG633,1,MATCH(Parametres!$B$3,V$1:AG$1,0))*IF(OR(C633="L",C633="S",C633="I"),-1,1)</f>
        <v>2283</v>
      </c>
      <c r="AY633" s="487" t="s">
        <v>337</v>
      </c>
      <c r="AZ633" s="487" t="str">
        <f>+VLOOKUP($AJ633,Data_Validation!$A:$E,5,0)</f>
        <v>Oui</v>
      </c>
    </row>
    <row r="634" spans="1:52" ht="15" hidden="1" customHeight="1">
      <c r="A634" s="706" t="s">
        <v>1147</v>
      </c>
      <c r="B634" s="706">
        <v>2025</v>
      </c>
      <c r="C634" s="706" t="s">
        <v>2475</v>
      </c>
      <c r="D634" s="706" t="s">
        <v>2476</v>
      </c>
      <c r="E634" s="706" t="s">
        <v>1150</v>
      </c>
      <c r="F634" s="706" t="s">
        <v>1148</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G46720</v>
      </c>
      <c r="AK634" s="905" t="str">
        <f t="shared" si="61"/>
        <v>B.R PPC VOIT &amp; CAM LEG.</v>
      </c>
      <c r="AL634" s="905">
        <f>IFERROR(INDEX(G634:R634,1,MATCH(Parametres!$B$3,G$1:R$1,0)-1)*IF(OR(F634="L",F634="S",F634="I"),-1,1),"")</f>
        <v>0</v>
      </c>
      <c r="AM634" s="905">
        <f t="shared" si="56"/>
        <v>0</v>
      </c>
      <c r="AN634" s="905">
        <f>INDEX(G634:R634,1,MATCH(Parametres!$B$3,G$1:R$1,0))*IF(OR(F634="L",F634="S",F634="I"),-1,1)</f>
        <v>0</v>
      </c>
      <c r="AO634" s="487" t="str">
        <f>+VLOOKUP($AJ634,Data_Validation!$A:$D,1,0)</f>
        <v>G46720</v>
      </c>
      <c r="AP634" s="487" t="str">
        <f>+VLOOKUP($AJ634,Data_Validation!$A:$D,3,0)</f>
        <v>Pièces</v>
      </c>
      <c r="AQ634" s="487" t="str">
        <f>+VLOOKUP($AJ634,Data_Validation!$A:$D,4,0)</f>
        <v>Pièces Ro Clients</v>
      </c>
      <c r="AR634" s="487" t="s">
        <v>299</v>
      </c>
      <c r="AS634" s="487" t="str">
        <f>+VLOOKUP($AJ634,Data_Validation!$A:$E,5,0)</f>
        <v>Oui</v>
      </c>
      <c r="AT634" s="904" t="str">
        <f t="shared" si="57"/>
        <v>G46720</v>
      </c>
      <c r="AU634" s="488" t="str">
        <f t="shared" si="58"/>
        <v>B.R PPC VOIT &amp; CAM LEG.</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customHeight="1">
      <c r="A635" s="706" t="s">
        <v>1147</v>
      </c>
      <c r="B635" s="706">
        <v>2025</v>
      </c>
      <c r="C635" s="706" t="s">
        <v>2477</v>
      </c>
      <c r="D635" s="706" t="s">
        <v>2478</v>
      </c>
      <c r="E635" s="706" t="s">
        <v>1150</v>
      </c>
      <c r="F635" s="706" t="s">
        <v>1148</v>
      </c>
      <c r="G635" s="706">
        <v>0</v>
      </c>
      <c r="H635" s="706">
        <v>0</v>
      </c>
      <c r="I635" s="706">
        <v>0</v>
      </c>
      <c r="J635" s="706">
        <v>0</v>
      </c>
      <c r="K635" s="706">
        <v>0</v>
      </c>
      <c r="L635" s="706">
        <v>0</v>
      </c>
      <c r="M635" s="706">
        <v>0</v>
      </c>
      <c r="N635" s="706">
        <v>0</v>
      </c>
      <c r="O635" s="706">
        <v>0</v>
      </c>
      <c r="P635" s="706">
        <v>0</v>
      </c>
      <c r="Q635" s="706">
        <v>0</v>
      </c>
      <c r="R635" s="706">
        <v>0</v>
      </c>
      <c r="S635" s="706">
        <v>0</v>
      </c>
      <c r="T635" s="706">
        <v>0</v>
      </c>
      <c r="U635" s="706">
        <v>0</v>
      </c>
      <c r="V635" s="706">
        <v>0</v>
      </c>
      <c r="W635" s="706">
        <v>0</v>
      </c>
      <c r="X635" s="706">
        <v>0</v>
      </c>
      <c r="Y635" s="706">
        <v>0</v>
      </c>
      <c r="Z635" s="706">
        <v>0</v>
      </c>
      <c r="AA635" s="706">
        <v>0</v>
      </c>
      <c r="AB635" s="706">
        <v>0</v>
      </c>
      <c r="AC635" s="706">
        <v>0</v>
      </c>
      <c r="AD635" s="706">
        <v>0</v>
      </c>
      <c r="AE635" s="706">
        <v>0</v>
      </c>
      <c r="AF635" s="706">
        <v>0</v>
      </c>
      <c r="AG635" s="706">
        <v>0</v>
      </c>
      <c r="AH635" s="706">
        <v>0</v>
      </c>
      <c r="AI635" s="706">
        <v>0</v>
      </c>
      <c r="AJ635" s="905" t="str">
        <f t="shared" si="60"/>
        <v>G46740</v>
      </c>
      <c r="AK635" s="905" t="str">
        <f t="shared" si="61"/>
        <v>SER.RAPIDE VOIT CAM LEG.</v>
      </c>
      <c r="AL635" s="905">
        <f>IFERROR(INDEX(G635:R635,1,MATCH(Parametres!$B$3,G$1:R$1,0)-1)*IF(OR(F635="L",F635="S",F635="I"),-1,1),"")</f>
        <v>0</v>
      </c>
      <c r="AM635" s="905">
        <f t="shared" si="56"/>
        <v>0</v>
      </c>
      <c r="AN635" s="905">
        <f>INDEX(G635:R635,1,MATCH(Parametres!$B$3,G$1:R$1,0))*IF(OR(F635="L",F635="S",F635="I"),-1,1)</f>
        <v>0</v>
      </c>
      <c r="AO635" s="487" t="str">
        <f>+VLOOKUP($AJ635,Data_Validation!$A:$D,1,0)</f>
        <v>G46740</v>
      </c>
      <c r="AP635" s="487">
        <f>+VLOOKUP($AJ635,Data_Validation!$A:$D,3,0)</f>
        <v>0</v>
      </c>
      <c r="AQ635" s="487">
        <f>+VLOOKUP($AJ635,Data_Validation!$A:$D,4,0)</f>
        <v>0</v>
      </c>
      <c r="AR635" s="487" t="s">
        <v>299</v>
      </c>
      <c r="AS635" s="487">
        <f>+VLOOKUP($AJ635,Data_Validation!$A:$E,5,0)</f>
        <v>0</v>
      </c>
      <c r="AT635" s="904" t="str">
        <f t="shared" si="57"/>
        <v>G46740</v>
      </c>
      <c r="AU635" s="488" t="str">
        <f t="shared" si="58"/>
        <v>SER.RAPIDE VOIT CAM LEG.</v>
      </c>
      <c r="AV635" s="899">
        <f>IFERROR(INDEX(V635:AG635,1,MATCH(Parametres!$B$3,V$1:AG$1,0)-1)*IF(OR(C635="L",C635="S",C635="I"),-1,1),"")</f>
        <v>0</v>
      </c>
      <c r="AW635" s="899">
        <f t="shared" si="59"/>
        <v>0</v>
      </c>
      <c r="AX635" s="899">
        <f>INDEX(V635:AG635,1,MATCH(Parametres!$B$3,V$1:AG$1,0))*IF(OR(C635="L",C635="S",C635="I"),-1,1)</f>
        <v>0</v>
      </c>
      <c r="AY635" s="487" t="s">
        <v>337</v>
      </c>
      <c r="AZ635" s="487">
        <f>+VLOOKUP($AJ635,Data_Validation!$A:$E,5,0)</f>
        <v>0</v>
      </c>
    </row>
    <row r="636" spans="1:52" ht="15" customHeight="1">
      <c r="A636" s="706" t="s">
        <v>1147</v>
      </c>
      <c r="B636" s="706">
        <v>2025</v>
      </c>
      <c r="C636" s="706" t="s">
        <v>2479</v>
      </c>
      <c r="D636" s="706" t="s">
        <v>2480</v>
      </c>
      <c r="E636" s="706" t="s">
        <v>1150</v>
      </c>
      <c r="F636" s="706" t="s">
        <v>1148</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G46800</v>
      </c>
      <c r="AK636" s="905" t="str">
        <f t="shared" si="61"/>
        <v>VTES-PCE CLIENT CAM MOYEN</v>
      </c>
      <c r="AL636" s="905">
        <f>IFERROR(INDEX(G636:R636,1,MATCH(Parametres!$B$3,G$1:R$1,0)-1)*IF(OR(F636="L",F636="S",F636="I"),-1,1),"")</f>
        <v>0</v>
      </c>
      <c r="AM636" s="905">
        <f t="shared" si="56"/>
        <v>0</v>
      </c>
      <c r="AN636" s="905">
        <f>INDEX(G636:R636,1,MATCH(Parametres!$B$3,G$1:R$1,0))*IF(OR(F636="L",F636="S",F636="I"),-1,1)</f>
        <v>0</v>
      </c>
      <c r="AO636" s="487" t="str">
        <f>+VLOOKUP($AJ636,Data_Validation!$A:$D,1,0)</f>
        <v>G46800</v>
      </c>
      <c r="AP636" s="487">
        <f>+VLOOKUP($AJ636,Data_Validation!$A:$D,3,0)</f>
        <v>0</v>
      </c>
      <c r="AQ636" s="487">
        <f>+VLOOKUP($AJ636,Data_Validation!$A:$D,4,0)</f>
        <v>0</v>
      </c>
      <c r="AR636" s="487" t="s">
        <v>299</v>
      </c>
      <c r="AS636" s="487">
        <f>+VLOOKUP($AJ636,Data_Validation!$A:$E,5,0)</f>
        <v>0</v>
      </c>
      <c r="AT636" s="904" t="str">
        <f t="shared" si="57"/>
        <v>G46800</v>
      </c>
      <c r="AU636" s="488" t="str">
        <f t="shared" si="58"/>
        <v>VTES-PCE CLIENT CAM MOYEN</v>
      </c>
      <c r="AV636" s="899">
        <f>IFERROR(INDEX(V636:AG636,1,MATCH(Parametres!$B$3,V$1:AG$1,0)-1)*IF(OR(C636="L",C636="S",C636="I"),-1,1),"")</f>
        <v>0</v>
      </c>
      <c r="AW636" s="899">
        <f t="shared" si="59"/>
        <v>0</v>
      </c>
      <c r="AX636" s="899">
        <f>INDEX(V636:AG636,1,MATCH(Parametres!$B$3,V$1:AG$1,0))*IF(OR(C636="L",C636="S",C636="I"),-1,1)</f>
        <v>0</v>
      </c>
      <c r="AY636" s="487" t="s">
        <v>337</v>
      </c>
      <c r="AZ636" s="487">
        <f>+VLOOKUP($AJ636,Data_Validation!$A:$E,5,0)</f>
        <v>0</v>
      </c>
    </row>
    <row r="637" spans="1:52" ht="15" customHeight="1">
      <c r="A637" s="706" t="s">
        <v>1147</v>
      </c>
      <c r="B637" s="706">
        <v>2025</v>
      </c>
      <c r="C637" s="706" t="s">
        <v>2481</v>
      </c>
      <c r="D637" s="706" t="s">
        <v>2482</v>
      </c>
      <c r="E637" s="706" t="s">
        <v>1150</v>
      </c>
      <c r="F637" s="706" t="s">
        <v>1148</v>
      </c>
      <c r="G637" s="706">
        <v>0</v>
      </c>
      <c r="H637" s="706">
        <v>0</v>
      </c>
      <c r="I637" s="706">
        <v>0</v>
      </c>
      <c r="J637" s="706">
        <v>0</v>
      </c>
      <c r="K637" s="706">
        <v>0</v>
      </c>
      <c r="L637" s="706">
        <v>0</v>
      </c>
      <c r="M637" s="706">
        <v>0</v>
      </c>
      <c r="N637" s="706">
        <v>0</v>
      </c>
      <c r="O637" s="706">
        <v>0</v>
      </c>
      <c r="P637" s="706">
        <v>0</v>
      </c>
      <c r="Q637" s="706">
        <v>0</v>
      </c>
      <c r="R637" s="706">
        <v>0</v>
      </c>
      <c r="S637" s="706">
        <v>0</v>
      </c>
      <c r="T637" s="706">
        <v>0</v>
      </c>
      <c r="U637" s="706">
        <v>0</v>
      </c>
      <c r="V637" s="706">
        <v>0</v>
      </c>
      <c r="W637" s="706">
        <v>0</v>
      </c>
      <c r="X637" s="706">
        <v>0</v>
      </c>
      <c r="Y637" s="706">
        <v>0</v>
      </c>
      <c r="Z637" s="706">
        <v>0</v>
      </c>
      <c r="AA637" s="706">
        <v>0</v>
      </c>
      <c r="AB637" s="706">
        <v>0</v>
      </c>
      <c r="AC637" s="706">
        <v>0</v>
      </c>
      <c r="AD637" s="706">
        <v>0</v>
      </c>
      <c r="AE637" s="706">
        <v>0</v>
      </c>
      <c r="AF637" s="706">
        <v>0</v>
      </c>
      <c r="AG637" s="706">
        <v>0</v>
      </c>
      <c r="AH637" s="706">
        <v>0</v>
      </c>
      <c r="AI637" s="706">
        <v>0</v>
      </c>
      <c r="AJ637" s="905" t="str">
        <f t="shared" si="60"/>
        <v>G46810</v>
      </c>
      <c r="AK637" s="905" t="str">
        <f t="shared" si="61"/>
        <v>VTES-PCE SERV.CLIENT CAM.</v>
      </c>
      <c r="AL637" s="905">
        <f>IFERROR(INDEX(G637:R637,1,MATCH(Parametres!$B$3,G$1:R$1,0)-1)*IF(OR(F637="L",F637="S",F637="I"),-1,1),"")</f>
        <v>0</v>
      </c>
      <c r="AM637" s="905">
        <f t="shared" si="56"/>
        <v>0</v>
      </c>
      <c r="AN637" s="905">
        <f>INDEX(G637:R637,1,MATCH(Parametres!$B$3,G$1:R$1,0))*IF(OR(F637="L",F637="S",F637="I"),-1,1)</f>
        <v>0</v>
      </c>
      <c r="AO637" s="487" t="str">
        <f>+VLOOKUP($AJ637,Data_Validation!$A:$D,1,0)</f>
        <v>G46810</v>
      </c>
      <c r="AP637" s="487">
        <f>+VLOOKUP($AJ637,Data_Validation!$A:$D,3,0)</f>
        <v>0</v>
      </c>
      <c r="AQ637" s="487">
        <f>+VLOOKUP($AJ637,Data_Validation!$A:$D,4,0)</f>
        <v>0</v>
      </c>
      <c r="AR637" s="487" t="s">
        <v>299</v>
      </c>
      <c r="AS637" s="487">
        <f>+VLOOKUP($AJ637,Data_Validation!$A:$E,5,0)</f>
        <v>0</v>
      </c>
      <c r="AT637" s="904" t="str">
        <f t="shared" si="57"/>
        <v>G46810</v>
      </c>
      <c r="AU637" s="488" t="str">
        <f t="shared" si="58"/>
        <v>VTES-PCE SERV.CLIENT CAM.</v>
      </c>
      <c r="AV637" s="899">
        <f>IFERROR(INDEX(V637:AG637,1,MATCH(Parametres!$B$3,V$1:AG$1,0)-1)*IF(OR(C637="L",C637="S",C637="I"),-1,1),"")</f>
        <v>0</v>
      </c>
      <c r="AW637" s="899">
        <f t="shared" si="59"/>
        <v>0</v>
      </c>
      <c r="AX637" s="899">
        <f>INDEX(V637:AG637,1,MATCH(Parametres!$B$3,V$1:AG$1,0))*IF(OR(C637="L",C637="S",C637="I"),-1,1)</f>
        <v>0</v>
      </c>
      <c r="AY637" s="487" t="s">
        <v>337</v>
      </c>
      <c r="AZ637" s="487">
        <f>+VLOOKUP($AJ637,Data_Validation!$A:$E,5,0)</f>
        <v>0</v>
      </c>
    </row>
    <row r="638" spans="1:52" ht="15" customHeight="1">
      <c r="A638" s="706" t="s">
        <v>1147</v>
      </c>
      <c r="B638" s="706">
        <v>2025</v>
      </c>
      <c r="C638" s="706" t="s">
        <v>2483</v>
      </c>
      <c r="D638" s="706" t="s">
        <v>2484</v>
      </c>
      <c r="E638" s="706" t="s">
        <v>1150</v>
      </c>
      <c r="F638" s="706" t="s">
        <v>1148</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G46840</v>
      </c>
      <c r="AK638" s="905" t="str">
        <f t="shared" si="61"/>
        <v>VTES-PCE GOODWRENCH CAMIO</v>
      </c>
      <c r="AL638" s="905">
        <f>IFERROR(INDEX(G638:R638,1,MATCH(Parametres!$B$3,G$1:R$1,0)-1)*IF(OR(F638="L",F638="S",F638="I"),-1,1),"")</f>
        <v>0</v>
      </c>
      <c r="AM638" s="905">
        <f t="shared" si="56"/>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t="str">
        <f t="shared" si="57"/>
        <v>G46840</v>
      </c>
      <c r="AU638" s="488" t="str">
        <f t="shared" si="58"/>
        <v>VTES-PCE GOODWRENCH CAMIO</v>
      </c>
      <c r="AV638" s="899">
        <f>IFERROR(INDEX(V638:AG638,1,MATCH(Parametres!$B$3,V$1:AG$1,0)-1)*IF(OR(C638="L",C638="S",C638="I"),-1,1),"")</f>
        <v>0</v>
      </c>
      <c r="AW638" s="899">
        <f t="shared" si="59"/>
        <v>0</v>
      </c>
      <c r="AX638" s="899">
        <f>INDEX(V638:AG638,1,MATCH(Parametres!$B$3,V$1:AG$1,0))*IF(OR(C638="L",C638="S",C638="I"),-1,1)</f>
        <v>0</v>
      </c>
      <c r="AY638" s="487" t="s">
        <v>337</v>
      </c>
      <c r="AZ638" s="487" t="e">
        <f>+VLOOKUP($AJ638,Data_Validation!$A:$E,5,0)</f>
        <v>#N/A</v>
      </c>
    </row>
    <row r="639" spans="1:52" ht="15" hidden="1" customHeight="1">
      <c r="A639" s="706" t="s">
        <v>1147</v>
      </c>
      <c r="B639" s="706">
        <v>2025</v>
      </c>
      <c r="C639" s="706" t="s">
        <v>2485</v>
      </c>
      <c r="D639" s="706" t="s">
        <v>2486</v>
      </c>
      <c r="E639" s="706" t="s">
        <v>333</v>
      </c>
      <c r="F639" s="706" t="s">
        <v>1148</v>
      </c>
      <c r="G639" s="706">
        <v>0</v>
      </c>
      <c r="H639" s="706">
        <v>0</v>
      </c>
      <c r="I639" s="706">
        <v>3059.45</v>
      </c>
      <c r="J639" s="706">
        <v>7398.09</v>
      </c>
      <c r="K639" s="706">
        <v>12324.39</v>
      </c>
      <c r="L639" s="706">
        <v>16135.39</v>
      </c>
      <c r="M639" s="706">
        <v>18936.189999999999</v>
      </c>
      <c r="N639" s="706">
        <v>21847.99</v>
      </c>
      <c r="O639" s="706">
        <v>24884.639999999999</v>
      </c>
      <c r="P639" s="706">
        <v>29276.54</v>
      </c>
      <c r="Q639" s="706">
        <v>31619.65</v>
      </c>
      <c r="R639" s="706">
        <v>34869.25</v>
      </c>
      <c r="S639" s="706">
        <v>2874.51</v>
      </c>
      <c r="T639" s="706">
        <v>2874.51</v>
      </c>
      <c r="U639" s="706">
        <v>0</v>
      </c>
      <c r="V639" s="706">
        <v>0</v>
      </c>
      <c r="W639" s="706">
        <v>0</v>
      </c>
      <c r="X639" s="706">
        <v>304</v>
      </c>
      <c r="Y639" s="706">
        <v>732</v>
      </c>
      <c r="Z639" s="706">
        <v>1187</v>
      </c>
      <c r="AA639" s="706">
        <v>1541</v>
      </c>
      <c r="AB639" s="706">
        <v>1789</v>
      </c>
      <c r="AC639" s="706">
        <v>2037</v>
      </c>
      <c r="AD639" s="706">
        <v>2321</v>
      </c>
      <c r="AE639" s="706">
        <v>2676</v>
      </c>
      <c r="AF639" s="706">
        <v>2958</v>
      </c>
      <c r="AG639" s="706">
        <v>3181</v>
      </c>
      <c r="AH639" s="706">
        <v>269</v>
      </c>
      <c r="AI639" s="706">
        <v>269</v>
      </c>
      <c r="AJ639" s="905" t="str">
        <f t="shared" si="60"/>
        <v>G46900</v>
      </c>
      <c r="AK639" s="905" t="str">
        <f t="shared" si="61"/>
        <v>VTES FOURNITURE ATELIER</v>
      </c>
      <c r="AL639" s="905">
        <f>IFERROR(INDEX(G639:R639,1,MATCH(Parametres!$B$3,G$1:R$1,0)-1)*IF(OR(F639="L",F639="S",F639="I"),-1,1),"")</f>
        <v>-31619.65</v>
      </c>
      <c r="AM639" s="905">
        <f t="shared" si="56"/>
        <v>-3249.5999999999985</v>
      </c>
      <c r="AN639" s="905">
        <f>INDEX(G639:R639,1,MATCH(Parametres!$B$3,G$1:R$1,0))*IF(OR(F639="L",F639="S",F639="I"),-1,1)</f>
        <v>-34869.25</v>
      </c>
      <c r="AO639" s="487" t="str">
        <f>+VLOOKUP($AJ639,Data_Validation!$A:$D,1,0)</f>
        <v>G46900</v>
      </c>
      <c r="AP639" s="487" t="str">
        <f>+VLOOKUP($AJ639,Data_Validation!$A:$D,3,0)</f>
        <v>Service</v>
      </c>
      <c r="AQ639" s="487" t="str">
        <f>+VLOOKUP($AJ639,Data_Validation!$A:$D,4,0)</f>
        <v>Sous-traitement</v>
      </c>
      <c r="AR639" s="487" t="s">
        <v>299</v>
      </c>
      <c r="AS639" s="487" t="str">
        <f>+VLOOKUP($AJ639,Data_Validation!$A:$E,5,0)</f>
        <v>Oui</v>
      </c>
      <c r="AT639" s="904" t="str">
        <f t="shared" si="57"/>
        <v>G46900</v>
      </c>
      <c r="AU639" s="488" t="str">
        <f t="shared" si="58"/>
        <v>VTES FOURNITURE ATELIER</v>
      </c>
      <c r="AV639" s="899">
        <f>IFERROR(INDEX(V639:AG639,1,MATCH(Parametres!$B$3,V$1:AG$1,0)-1)*IF(OR(C639="L",C639="S",C639="I"),-1,1),"")</f>
        <v>2958</v>
      </c>
      <c r="AW639" s="899">
        <f t="shared" si="59"/>
        <v>223</v>
      </c>
      <c r="AX639" s="899">
        <f>INDEX(V639:AG639,1,MATCH(Parametres!$B$3,V$1:AG$1,0))*IF(OR(C639="L",C639="S",C639="I"),-1,1)</f>
        <v>3181</v>
      </c>
      <c r="AY639" s="487" t="s">
        <v>337</v>
      </c>
      <c r="AZ639" s="487" t="str">
        <f>+VLOOKUP($AJ639,Data_Validation!$A:$E,5,0)</f>
        <v>Oui</v>
      </c>
    </row>
    <row r="640" spans="1:52" ht="15" hidden="1" customHeight="1">
      <c r="A640" s="706" t="s">
        <v>1147</v>
      </c>
      <c r="B640" s="706">
        <v>2025</v>
      </c>
      <c r="C640" s="706" t="s">
        <v>2487</v>
      </c>
      <c r="D640" s="706" t="s">
        <v>2488</v>
      </c>
      <c r="E640" s="706" t="s">
        <v>1150</v>
      </c>
      <c r="F640" s="706" t="s">
        <v>1148</v>
      </c>
      <c r="G640" s="706">
        <v>0</v>
      </c>
      <c r="H640" s="706">
        <v>0</v>
      </c>
      <c r="I640" s="706">
        <v>0</v>
      </c>
      <c r="J640" s="706">
        <v>0</v>
      </c>
      <c r="K640" s="706">
        <v>0</v>
      </c>
      <c r="L640" s="706">
        <v>0</v>
      </c>
      <c r="M640" s="706">
        <v>0</v>
      </c>
      <c r="N640" s="706">
        <v>0</v>
      </c>
      <c r="O640" s="706">
        <v>0</v>
      </c>
      <c r="P640" s="706">
        <v>0</v>
      </c>
      <c r="Q640" s="706">
        <v>0</v>
      </c>
      <c r="R640" s="706">
        <v>0</v>
      </c>
      <c r="S640" s="706">
        <v>0</v>
      </c>
      <c r="T640" s="706">
        <v>0</v>
      </c>
      <c r="U640" s="706">
        <v>0</v>
      </c>
      <c r="V640" s="706">
        <v>0</v>
      </c>
      <c r="W640" s="706">
        <v>0</v>
      </c>
      <c r="X640" s="706">
        <v>0</v>
      </c>
      <c r="Y640" s="706">
        <v>0</v>
      </c>
      <c r="Z640" s="706">
        <v>0</v>
      </c>
      <c r="AA640" s="706">
        <v>0</v>
      </c>
      <c r="AB640" s="706">
        <v>1</v>
      </c>
      <c r="AC640" s="706">
        <v>1</v>
      </c>
      <c r="AD640" s="706">
        <v>1</v>
      </c>
      <c r="AE640" s="706">
        <v>1</v>
      </c>
      <c r="AF640" s="706">
        <v>1</v>
      </c>
      <c r="AG640" s="706">
        <v>1</v>
      </c>
      <c r="AH640" s="706">
        <v>0</v>
      </c>
      <c r="AI640" s="706">
        <v>0</v>
      </c>
      <c r="AJ640" s="905" t="str">
        <f t="shared" si="60"/>
        <v>G47000</v>
      </c>
      <c r="AK640" s="905" t="str">
        <f t="shared" si="61"/>
        <v>VTES-M.D. CLIENT-PEINTURE</v>
      </c>
      <c r="AL640" s="905">
        <f>IFERROR(INDEX(G640:R640,1,MATCH(Parametres!$B$3,G$1:R$1,0)-1)*IF(OR(F640="L",F640="S",F640="I"),-1,1),"")</f>
        <v>0</v>
      </c>
      <c r="AM640" s="905">
        <f t="shared" si="56"/>
        <v>0</v>
      </c>
      <c r="AN640" s="905">
        <f>INDEX(G640:R640,1,MATCH(Parametres!$B$3,G$1:R$1,0))*IF(OR(F640="L",F640="S",F640="I"),-1,1)</f>
        <v>0</v>
      </c>
      <c r="AO640" s="487" t="str">
        <f>+VLOOKUP($AJ640,Data_Validation!$A:$D,1,0)</f>
        <v>G47000</v>
      </c>
      <c r="AP640" s="487" t="str">
        <f>+VLOOKUP($AJ640,Data_Validation!$A:$D,3,0)</f>
        <v>Carrosserie</v>
      </c>
      <c r="AQ640" s="487" t="str">
        <f>+VLOOKUP($AJ640,Data_Validation!$A:$D,4,0)</f>
        <v>Carrosserie Clients</v>
      </c>
      <c r="AR640" s="487" t="s">
        <v>299</v>
      </c>
      <c r="AS640" s="487" t="str">
        <f>+VLOOKUP($AJ640,Data_Validation!$A:$E,5,0)</f>
        <v>Oui</v>
      </c>
      <c r="AT640" s="904" t="str">
        <f t="shared" si="57"/>
        <v>G47000</v>
      </c>
      <c r="AU640" s="488" t="str">
        <f t="shared" si="58"/>
        <v>VTES-M.D. CLIENT-PEINTURE</v>
      </c>
      <c r="AV640" s="899">
        <f>IFERROR(INDEX(V640:AG640,1,MATCH(Parametres!$B$3,V$1:AG$1,0)-1)*IF(OR(C640="L",C640="S",C640="I"),-1,1),"")</f>
        <v>1</v>
      </c>
      <c r="AW640" s="899">
        <f t="shared" si="59"/>
        <v>0</v>
      </c>
      <c r="AX640" s="899">
        <f>INDEX(V640:AG640,1,MATCH(Parametres!$B$3,V$1:AG$1,0))*IF(OR(C640="L",C640="S",C640="I"),-1,1)</f>
        <v>1</v>
      </c>
      <c r="AY640" s="487" t="s">
        <v>337</v>
      </c>
      <c r="AZ640" s="487" t="str">
        <f>+VLOOKUP($AJ640,Data_Validation!$A:$E,5,0)</f>
        <v>Oui</v>
      </c>
    </row>
    <row r="641" spans="1:52" ht="15" hidden="1" customHeight="1">
      <c r="A641" s="706" t="s">
        <v>1147</v>
      </c>
      <c r="B641" s="706">
        <v>2025</v>
      </c>
      <c r="C641" s="706" t="s">
        <v>2491</v>
      </c>
      <c r="D641" s="706" t="s">
        <v>2492</v>
      </c>
      <c r="E641" s="706" t="s">
        <v>1150</v>
      </c>
      <c r="F641" s="706" t="s">
        <v>1148</v>
      </c>
      <c r="G641" s="706">
        <v>41124.07</v>
      </c>
      <c r="H641" s="706">
        <v>88292.45</v>
      </c>
      <c r="I641" s="706">
        <v>143840.69</v>
      </c>
      <c r="J641" s="706">
        <v>178487.7</v>
      </c>
      <c r="K641" s="706">
        <v>231135.67</v>
      </c>
      <c r="L641" s="706">
        <v>273621.57</v>
      </c>
      <c r="M641" s="706">
        <v>331416.02</v>
      </c>
      <c r="N641" s="706">
        <v>379618.53</v>
      </c>
      <c r="O641" s="706">
        <v>434060.93</v>
      </c>
      <c r="P641" s="706">
        <v>481940.11</v>
      </c>
      <c r="Q641" s="706">
        <v>533311.79</v>
      </c>
      <c r="R641" s="706">
        <v>574813.75</v>
      </c>
      <c r="S641" s="706">
        <v>48482.89</v>
      </c>
      <c r="T641" s="706">
        <v>48482.89</v>
      </c>
      <c r="U641" s="706">
        <v>0</v>
      </c>
      <c r="V641" s="706">
        <v>26</v>
      </c>
      <c r="W641" s="706">
        <v>56</v>
      </c>
      <c r="X641" s="706">
        <v>99</v>
      </c>
      <c r="Y641" s="706">
        <v>136</v>
      </c>
      <c r="Z641" s="706">
        <v>174</v>
      </c>
      <c r="AA641" s="706">
        <v>207</v>
      </c>
      <c r="AB641" s="706">
        <v>250</v>
      </c>
      <c r="AC641" s="706">
        <v>286</v>
      </c>
      <c r="AD641" s="706">
        <v>329</v>
      </c>
      <c r="AE641" s="706">
        <v>386</v>
      </c>
      <c r="AF641" s="706">
        <v>431</v>
      </c>
      <c r="AG641" s="706">
        <v>469</v>
      </c>
      <c r="AH641" s="706">
        <v>39</v>
      </c>
      <c r="AI641" s="706">
        <v>39</v>
      </c>
      <c r="AJ641" s="905" t="str">
        <f t="shared" si="60"/>
        <v>G47100</v>
      </c>
      <c r="AK641" s="905" t="str">
        <f t="shared" si="61"/>
        <v>VTES-M.D. CLIENT CARROSS.</v>
      </c>
      <c r="AL641" s="905">
        <f>IFERROR(INDEX(G641:R641,1,MATCH(Parametres!$B$3,G$1:R$1,0)-1)*IF(OR(F641="L",F641="S",F641="I"),-1,1),"")</f>
        <v>-533311.79</v>
      </c>
      <c r="AM641" s="905">
        <f t="shared" si="56"/>
        <v>-41501.959999999963</v>
      </c>
      <c r="AN641" s="905">
        <f>INDEX(G641:R641,1,MATCH(Parametres!$B$3,G$1:R$1,0))*IF(OR(F641="L",F641="S",F641="I"),-1,1)</f>
        <v>-574813.75</v>
      </c>
      <c r="AO641" s="487" t="str">
        <f>+VLOOKUP($AJ641,Data_Validation!$A:$D,1,0)</f>
        <v>G47100</v>
      </c>
      <c r="AP641" s="487" t="str">
        <f>+VLOOKUP($AJ641,Data_Validation!$A:$D,3,0)</f>
        <v>Carrosserie</v>
      </c>
      <c r="AQ641" s="487" t="str">
        <f>+VLOOKUP($AJ641,Data_Validation!$A:$D,4,0)</f>
        <v>Carrosserie Clients</v>
      </c>
      <c r="AR641" s="487" t="s">
        <v>299</v>
      </c>
      <c r="AS641" s="487" t="str">
        <f>+VLOOKUP($AJ641,Data_Validation!$A:$E,5,0)</f>
        <v>Oui</v>
      </c>
      <c r="AT641" s="904" t="str">
        <f t="shared" si="57"/>
        <v>G47100</v>
      </c>
      <c r="AU641" s="488" t="str">
        <f t="shared" si="58"/>
        <v>VTES-M.D. CLIENT CARROSS.</v>
      </c>
      <c r="AV641" s="899">
        <f>IFERROR(INDEX(V641:AG641,1,MATCH(Parametres!$B$3,V$1:AG$1,0)-1)*IF(OR(C641="L",C641="S",C641="I"),-1,1),"")</f>
        <v>431</v>
      </c>
      <c r="AW641" s="899">
        <f t="shared" si="59"/>
        <v>38</v>
      </c>
      <c r="AX641" s="899">
        <f>INDEX(V641:AG641,1,MATCH(Parametres!$B$3,V$1:AG$1,0))*IF(OR(C641="L",C641="S",C641="I"),-1,1)</f>
        <v>469</v>
      </c>
      <c r="AY641" s="487" t="s">
        <v>337</v>
      </c>
      <c r="AZ641" s="487" t="str">
        <f>+VLOOKUP($AJ641,Data_Validation!$A:$E,5,0)</f>
        <v>Oui</v>
      </c>
    </row>
    <row r="642" spans="1:52" ht="15" hidden="1" customHeight="1">
      <c r="A642" s="706" t="s">
        <v>1147</v>
      </c>
      <c r="B642" s="706">
        <v>2025</v>
      </c>
      <c r="C642" s="706" t="s">
        <v>2501</v>
      </c>
      <c r="D642" s="706" t="s">
        <v>2502</v>
      </c>
      <c r="E642" s="706" t="s">
        <v>1150</v>
      </c>
      <c r="F642" s="706" t="s">
        <v>1148</v>
      </c>
      <c r="G642" s="706">
        <v>0</v>
      </c>
      <c r="H642" s="706">
        <v>0</v>
      </c>
      <c r="I642" s="706">
        <v>0</v>
      </c>
      <c r="J642" s="706">
        <v>301.60000000000002</v>
      </c>
      <c r="K642" s="706">
        <v>301.60000000000002</v>
      </c>
      <c r="L642" s="706">
        <v>540.79999999999995</v>
      </c>
      <c r="M642" s="706">
        <v>540.79999999999995</v>
      </c>
      <c r="N642" s="706">
        <v>540.79999999999995</v>
      </c>
      <c r="O642" s="706">
        <v>540.79999999999995</v>
      </c>
      <c r="P642" s="706">
        <v>540.79999999999995</v>
      </c>
      <c r="Q642" s="706">
        <v>540.79999999999995</v>
      </c>
      <c r="R642" s="706">
        <v>1808.45</v>
      </c>
      <c r="S642" s="706">
        <v>49.16</v>
      </c>
      <c r="T642" s="706">
        <v>49.16</v>
      </c>
      <c r="U642" s="706">
        <v>0</v>
      </c>
      <c r="V642" s="706">
        <v>0</v>
      </c>
      <c r="W642" s="706">
        <v>0</v>
      </c>
      <c r="X642" s="706">
        <v>0</v>
      </c>
      <c r="Y642" s="706">
        <v>1</v>
      </c>
      <c r="Z642" s="706">
        <v>1</v>
      </c>
      <c r="AA642" s="706">
        <v>2</v>
      </c>
      <c r="AB642" s="706">
        <v>2</v>
      </c>
      <c r="AC642" s="706">
        <v>2</v>
      </c>
      <c r="AD642" s="706">
        <v>2</v>
      </c>
      <c r="AE642" s="706">
        <v>2</v>
      </c>
      <c r="AF642" s="706">
        <v>2</v>
      </c>
      <c r="AG642" s="706">
        <v>4</v>
      </c>
      <c r="AH642" s="706">
        <v>0</v>
      </c>
      <c r="AI642" s="706">
        <v>0</v>
      </c>
      <c r="AJ642" s="905" t="str">
        <f t="shared" si="60"/>
        <v>G47200</v>
      </c>
      <c r="AK642" s="905" t="str">
        <f t="shared" si="61"/>
        <v>VTES-M.D. CARROS.GARANTIE</v>
      </c>
      <c r="AL642" s="905">
        <f>IFERROR(INDEX(G642:R642,1,MATCH(Parametres!$B$3,G$1:R$1,0)-1)*IF(OR(F642="L",F642="S",F642="I"),-1,1),"")</f>
        <v>-540.79999999999995</v>
      </c>
      <c r="AM642" s="905">
        <f t="shared" si="56"/>
        <v>-1267.6500000000001</v>
      </c>
      <c r="AN642" s="905">
        <f>INDEX(G642:R642,1,MATCH(Parametres!$B$3,G$1:R$1,0))*IF(OR(F642="L",F642="S",F642="I"),-1,1)</f>
        <v>-1808.45</v>
      </c>
      <c r="AO642" s="487" t="str">
        <f>+VLOOKUP($AJ642,Data_Validation!$A:$D,1,0)</f>
        <v>G47200</v>
      </c>
      <c r="AP642" s="487" t="str">
        <f>+VLOOKUP($AJ642,Data_Validation!$A:$D,3,0)</f>
        <v>Carrosserie</v>
      </c>
      <c r="AQ642" s="487" t="str">
        <f>+VLOOKUP($AJ642,Data_Validation!$A:$D,4,0)</f>
        <v>Carrosserie Interne</v>
      </c>
      <c r="AR642" s="487" t="s">
        <v>299</v>
      </c>
      <c r="AS642" s="487" t="str">
        <f>+VLOOKUP($AJ642,Data_Validation!$A:$E,5,0)</f>
        <v>Oui</v>
      </c>
      <c r="AT642" s="904" t="str">
        <f t="shared" si="57"/>
        <v>G47200</v>
      </c>
      <c r="AU642" s="488" t="str">
        <f t="shared" si="58"/>
        <v>VTES-M.D. CARROS.GARANTIE</v>
      </c>
      <c r="AV642" s="899">
        <f>IFERROR(INDEX(V642:AG642,1,MATCH(Parametres!$B$3,V$1:AG$1,0)-1)*IF(OR(C642="L",C642="S",C642="I"),-1,1),"")</f>
        <v>2</v>
      </c>
      <c r="AW642" s="899">
        <f t="shared" si="59"/>
        <v>2</v>
      </c>
      <c r="AX642" s="899">
        <f>INDEX(V642:AG642,1,MATCH(Parametres!$B$3,V$1:AG$1,0))*IF(OR(C642="L",C642="S",C642="I"),-1,1)</f>
        <v>4</v>
      </c>
      <c r="AY642" s="487" t="s">
        <v>337</v>
      </c>
      <c r="AZ642" s="487" t="str">
        <f>+VLOOKUP($AJ642,Data_Validation!$A:$E,5,0)</f>
        <v>Oui</v>
      </c>
    </row>
    <row r="643" spans="1:52" ht="15" hidden="1" customHeight="1">
      <c r="A643" s="706" t="s">
        <v>1147</v>
      </c>
      <c r="B643" s="706">
        <v>2025</v>
      </c>
      <c r="C643" s="706" t="s">
        <v>2503</v>
      </c>
      <c r="D643" s="706" t="s">
        <v>2504</v>
      </c>
      <c r="E643" s="706" t="s">
        <v>1150</v>
      </c>
      <c r="F643" s="706" t="s">
        <v>1148</v>
      </c>
      <c r="G643" s="706">
        <v>1577.53</v>
      </c>
      <c r="H643" s="706">
        <v>3259.77</v>
      </c>
      <c r="I643" s="706">
        <v>3259.77</v>
      </c>
      <c r="J643" s="706">
        <v>8541.3799999999992</v>
      </c>
      <c r="K643" s="706">
        <v>14166.73</v>
      </c>
      <c r="L643" s="706">
        <v>19405.900000000001</v>
      </c>
      <c r="M643" s="706">
        <v>25723.66</v>
      </c>
      <c r="N643" s="706">
        <v>31866.1</v>
      </c>
      <c r="O643" s="706">
        <v>41630.36</v>
      </c>
      <c r="P643" s="706">
        <v>47646.87</v>
      </c>
      <c r="Q643" s="706">
        <v>53884.2</v>
      </c>
      <c r="R643" s="706">
        <v>57859.83</v>
      </c>
      <c r="S643" s="706">
        <v>4898.5600000000004</v>
      </c>
      <c r="T643" s="706">
        <v>4898.5600000000004</v>
      </c>
      <c r="U643" s="706">
        <v>0</v>
      </c>
      <c r="V643" s="706">
        <v>3</v>
      </c>
      <c r="W643" s="706">
        <v>6</v>
      </c>
      <c r="X643" s="706">
        <v>6</v>
      </c>
      <c r="Y643" s="706">
        <v>13</v>
      </c>
      <c r="Z643" s="706">
        <v>21</v>
      </c>
      <c r="AA643" s="706">
        <v>29</v>
      </c>
      <c r="AB643" s="706">
        <v>40</v>
      </c>
      <c r="AC643" s="706">
        <v>54</v>
      </c>
      <c r="AD643" s="706">
        <v>67</v>
      </c>
      <c r="AE643" s="706">
        <v>81</v>
      </c>
      <c r="AF643" s="706">
        <v>89</v>
      </c>
      <c r="AG643" s="706">
        <v>92</v>
      </c>
      <c r="AH643" s="706">
        <v>8</v>
      </c>
      <c r="AI643" s="706">
        <v>8</v>
      </c>
      <c r="AJ643" s="905" t="str">
        <f t="shared" si="60"/>
        <v>G47300</v>
      </c>
      <c r="AK643" s="905" t="str">
        <f t="shared" si="61"/>
        <v>VTES-M.D. CARROS.INTERNE</v>
      </c>
      <c r="AL643" s="905">
        <f>IFERROR(INDEX(G643:R643,1,MATCH(Parametres!$B$3,G$1:R$1,0)-1)*IF(OR(F643="L",F643="S",F643="I"),-1,1),"")</f>
        <v>-53884.2</v>
      </c>
      <c r="AM643" s="905">
        <f t="shared" si="56"/>
        <v>-3975.6300000000047</v>
      </c>
      <c r="AN643" s="905">
        <f>INDEX(G643:R643,1,MATCH(Parametres!$B$3,G$1:R$1,0))*IF(OR(F643="L",F643="S",F643="I"),-1,1)</f>
        <v>-57859.83</v>
      </c>
      <c r="AO643" s="487" t="str">
        <f>+VLOOKUP($AJ643,Data_Validation!$A:$D,1,0)</f>
        <v>G47300</v>
      </c>
      <c r="AP643" s="487" t="str">
        <f>+VLOOKUP($AJ643,Data_Validation!$A:$D,3,0)</f>
        <v>Carrosserie</v>
      </c>
      <c r="AQ643" s="487" t="str">
        <f>+VLOOKUP($AJ643,Data_Validation!$A:$D,4,0)</f>
        <v>Carrosserie Interne</v>
      </c>
      <c r="AR643" s="487" t="s">
        <v>299</v>
      </c>
      <c r="AS643" s="487" t="str">
        <f>+VLOOKUP($AJ643,Data_Validation!$A:$E,5,0)</f>
        <v>Oui</v>
      </c>
      <c r="AT643" s="904" t="str">
        <f t="shared" si="57"/>
        <v>G47300</v>
      </c>
      <c r="AU643" s="488" t="str">
        <f t="shared" si="58"/>
        <v>VTES-M.D. CARROS.INTERNE</v>
      </c>
      <c r="AV643" s="899">
        <f>IFERROR(INDEX(V643:AG643,1,MATCH(Parametres!$B$3,V$1:AG$1,0)-1)*IF(OR(C643="L",C643="S",C643="I"),-1,1),"")</f>
        <v>89</v>
      </c>
      <c r="AW643" s="899">
        <f t="shared" si="59"/>
        <v>3</v>
      </c>
      <c r="AX643" s="899">
        <f>INDEX(V643:AG643,1,MATCH(Parametres!$B$3,V$1:AG$1,0))*IF(OR(C643="L",C643="S",C643="I"),-1,1)</f>
        <v>92</v>
      </c>
      <c r="AY643" s="487" t="s">
        <v>337</v>
      </c>
      <c r="AZ643" s="487" t="str">
        <f>+VLOOKUP($AJ643,Data_Validation!$A:$E,5,0)</f>
        <v>Oui</v>
      </c>
    </row>
    <row r="644" spans="1:52" ht="15" hidden="1" customHeight="1">
      <c r="A644" s="706" t="s">
        <v>1147</v>
      </c>
      <c r="B644" s="706">
        <v>2025</v>
      </c>
      <c r="C644" s="706" t="s">
        <v>2509</v>
      </c>
      <c r="D644" s="706" t="s">
        <v>2510</v>
      </c>
      <c r="E644" s="706" t="s">
        <v>333</v>
      </c>
      <c r="F644" s="706" t="s">
        <v>1148</v>
      </c>
      <c r="G644" s="706">
        <v>0</v>
      </c>
      <c r="H644" s="706">
        <v>0</v>
      </c>
      <c r="I644" s="706">
        <v>0</v>
      </c>
      <c r="J644" s="706">
        <v>0</v>
      </c>
      <c r="K644" s="706">
        <v>0</v>
      </c>
      <c r="L644" s="706">
        <v>0</v>
      </c>
      <c r="M644" s="706">
        <v>0</v>
      </c>
      <c r="N644" s="706">
        <v>0</v>
      </c>
      <c r="O644" s="706">
        <v>0</v>
      </c>
      <c r="P644" s="706">
        <v>0</v>
      </c>
      <c r="Q644" s="706">
        <v>0</v>
      </c>
      <c r="R644" s="706">
        <v>0</v>
      </c>
      <c r="S644" s="706">
        <v>0</v>
      </c>
      <c r="T644" s="706">
        <v>0</v>
      </c>
      <c r="U644" s="706">
        <v>0</v>
      </c>
      <c r="V644" s="706">
        <v>0</v>
      </c>
      <c r="W644" s="706">
        <v>0</v>
      </c>
      <c r="X644" s="706">
        <v>0</v>
      </c>
      <c r="Y644" s="706">
        <v>0</v>
      </c>
      <c r="Z644" s="706">
        <v>0</v>
      </c>
      <c r="AA644" s="706">
        <v>0</v>
      </c>
      <c r="AB644" s="706">
        <v>0</v>
      </c>
      <c r="AC644" s="706">
        <v>0</v>
      </c>
      <c r="AD644" s="706">
        <v>0</v>
      </c>
      <c r="AE644" s="706">
        <v>0</v>
      </c>
      <c r="AF644" s="706">
        <v>0</v>
      </c>
      <c r="AG644" s="706">
        <v>0</v>
      </c>
      <c r="AH644" s="706">
        <v>0</v>
      </c>
      <c r="AI644" s="706">
        <v>0</v>
      </c>
      <c r="AJ644" s="905" t="str">
        <f t="shared" si="60"/>
        <v>G47500</v>
      </c>
      <c r="AK644" s="905" t="str">
        <f t="shared" si="61"/>
        <v>*TEMPS PERDU CARROSSERIE</v>
      </c>
      <c r="AL644" s="905">
        <f>IFERROR(INDEX(G644:R644,1,MATCH(Parametres!$B$3,G$1:R$1,0)-1)*IF(OR(F644="L",F644="S",F644="I"),-1,1),"")</f>
        <v>0</v>
      </c>
      <c r="AM644" s="905">
        <f t="shared" ref="AM644:AM707" si="62">AN644-AL644</f>
        <v>0</v>
      </c>
      <c r="AN644" s="905">
        <f>INDEX(G644:R644,1,MATCH(Parametres!$B$3,G$1:R$1,0))*IF(OR(F644="L",F644="S",F644="I"),-1,1)</f>
        <v>0</v>
      </c>
      <c r="AO644" s="487" t="str">
        <f>+VLOOKUP($AJ644,Data_Validation!$A:$D,1,0)</f>
        <v>G47500</v>
      </c>
      <c r="AP644" s="487" t="str">
        <f>+VLOOKUP($AJ644,Data_Validation!$A:$D,3,0)</f>
        <v>Carrosserie</v>
      </c>
      <c r="AQ644" s="487" t="str">
        <f>+VLOOKUP($AJ644,Data_Validation!$A:$D,4,0)</f>
        <v>Ajustement M/O Carrosserie</v>
      </c>
      <c r="AR644" s="487" t="s">
        <v>299</v>
      </c>
      <c r="AS644" s="487" t="str">
        <f>+VLOOKUP($AJ644,Data_Validation!$A:$E,5,0)</f>
        <v>Oui</v>
      </c>
      <c r="AT644" s="904" t="str">
        <f t="shared" ref="AT644:AT707" si="63">C644</f>
        <v>G47500</v>
      </c>
      <c r="AU644" s="488" t="str">
        <f t="shared" ref="AU644:AU707" si="64">D644</f>
        <v>*TEMPS PERDU CARROSSERIE</v>
      </c>
      <c r="AV644" s="899">
        <f>IFERROR(INDEX(V644:AG644,1,MATCH(Parametres!$B$3,V$1:AG$1,0)-1)*IF(OR(C644="L",C644="S",C644="I"),-1,1),"")</f>
        <v>0</v>
      </c>
      <c r="AW644" s="899">
        <f t="shared" ref="AW644:AW707" si="65">AX644-AV644</f>
        <v>0</v>
      </c>
      <c r="AX644" s="899">
        <f>INDEX(V644:AG644,1,MATCH(Parametres!$B$3,V$1:AG$1,0))*IF(OR(C644="L",C644="S",C644="I"),-1,1)</f>
        <v>0</v>
      </c>
      <c r="AY644" s="487" t="s">
        <v>337</v>
      </c>
      <c r="AZ644" s="487" t="str">
        <f>+VLOOKUP($AJ644,Data_Validation!$A:$E,5,0)</f>
        <v>Oui</v>
      </c>
    </row>
    <row r="645" spans="1:52" ht="15" hidden="1" customHeight="1">
      <c r="A645" s="706" t="s">
        <v>1147</v>
      </c>
      <c r="B645" s="706">
        <v>2025</v>
      </c>
      <c r="C645" s="706" t="s">
        <v>2511</v>
      </c>
      <c r="D645" s="706" t="s">
        <v>2512</v>
      </c>
      <c r="E645" s="706" t="s">
        <v>1150</v>
      </c>
      <c r="F645" s="706" t="s">
        <v>1148</v>
      </c>
      <c r="G645" s="706">
        <v>69880.070000000007</v>
      </c>
      <c r="H645" s="706">
        <v>157285.43</v>
      </c>
      <c r="I645" s="706">
        <v>252470.44</v>
      </c>
      <c r="J645" s="706">
        <v>323808.43</v>
      </c>
      <c r="K645" s="706">
        <v>393493.06</v>
      </c>
      <c r="L645" s="706">
        <v>463873.62</v>
      </c>
      <c r="M645" s="706">
        <v>585403.80000000005</v>
      </c>
      <c r="N645" s="706">
        <v>684857.05</v>
      </c>
      <c r="O645" s="706">
        <v>771922.52</v>
      </c>
      <c r="P645" s="706">
        <v>842484.29</v>
      </c>
      <c r="Q645" s="706">
        <v>928898.84</v>
      </c>
      <c r="R645" s="706">
        <v>1009999.8</v>
      </c>
      <c r="S645" s="706">
        <v>84445.35</v>
      </c>
      <c r="T645" s="706">
        <v>84445.35</v>
      </c>
      <c r="U645" s="706">
        <v>0</v>
      </c>
      <c r="V645" s="706">
        <v>32</v>
      </c>
      <c r="W645" s="706">
        <v>69</v>
      </c>
      <c r="X645" s="706">
        <v>114</v>
      </c>
      <c r="Y645" s="706">
        <v>150</v>
      </c>
      <c r="Z645" s="706">
        <v>192</v>
      </c>
      <c r="AA645" s="706">
        <v>219</v>
      </c>
      <c r="AB645" s="706">
        <v>261</v>
      </c>
      <c r="AC645" s="706">
        <v>290</v>
      </c>
      <c r="AD645" s="706">
        <v>334</v>
      </c>
      <c r="AE645" s="706">
        <v>366</v>
      </c>
      <c r="AF645" s="706">
        <v>404</v>
      </c>
      <c r="AG645" s="706">
        <v>442</v>
      </c>
      <c r="AH645" s="706">
        <v>37</v>
      </c>
      <c r="AI645" s="706">
        <v>37</v>
      </c>
      <c r="AJ645" s="905" t="str">
        <f t="shared" si="60"/>
        <v>G47600</v>
      </c>
      <c r="AK645" s="905" t="str">
        <f t="shared" si="61"/>
        <v>VTES-REP.SOUS-TRAITE BODY</v>
      </c>
      <c r="AL645" s="905">
        <f>IFERROR(INDEX(G645:R645,1,MATCH(Parametres!$B$3,G$1:R$1,0)-1)*IF(OR(F645="L",F645="S",F645="I"),-1,1),"")</f>
        <v>-928898.84</v>
      </c>
      <c r="AM645" s="905">
        <f t="shared" si="62"/>
        <v>-81100.960000000079</v>
      </c>
      <c r="AN645" s="905">
        <f>INDEX(G645:R645,1,MATCH(Parametres!$B$3,G$1:R$1,0))*IF(OR(F645="L",F645="S",F645="I"),-1,1)</f>
        <v>-1009999.8</v>
      </c>
      <c r="AO645" s="487" t="str">
        <f>+VLOOKUP($AJ645,Data_Validation!$A:$D,1,0)</f>
        <v>G47600</v>
      </c>
      <c r="AP645" s="487" t="str">
        <f>+VLOOKUP($AJ645,Data_Validation!$A:$D,3,0)</f>
        <v>Carrosserie</v>
      </c>
      <c r="AQ645" s="487" t="str">
        <f>+VLOOKUP($AJ645,Data_Validation!$A:$D,4,0)</f>
        <v>Carrosserie Clients</v>
      </c>
      <c r="AR645" s="487" t="s">
        <v>299</v>
      </c>
      <c r="AS645" s="487" t="str">
        <f>+VLOOKUP($AJ645,Data_Validation!$A:$E,5,0)</f>
        <v>Oui</v>
      </c>
      <c r="AT645" s="904" t="str">
        <f t="shared" si="63"/>
        <v>G47600</v>
      </c>
      <c r="AU645" s="488" t="str">
        <f t="shared" si="64"/>
        <v>VTES-REP.SOUS-TRAITE BODY</v>
      </c>
      <c r="AV645" s="899">
        <f>IFERROR(INDEX(V645:AG645,1,MATCH(Parametres!$B$3,V$1:AG$1,0)-1)*IF(OR(C645="L",C645="S",C645="I"),-1,1),"")</f>
        <v>404</v>
      </c>
      <c r="AW645" s="899">
        <f t="shared" si="65"/>
        <v>38</v>
      </c>
      <c r="AX645" s="899">
        <f>INDEX(V645:AG645,1,MATCH(Parametres!$B$3,V$1:AG$1,0))*IF(OR(C645="L",C645="S",C645="I"),-1,1)</f>
        <v>442</v>
      </c>
      <c r="AY645" s="487" t="s">
        <v>337</v>
      </c>
      <c r="AZ645" s="487" t="str">
        <f>+VLOOKUP($AJ645,Data_Validation!$A:$E,5,0)</f>
        <v>Oui</v>
      </c>
    </row>
    <row r="646" spans="1:52" ht="15" hidden="1" customHeight="1">
      <c r="A646" s="706" t="s">
        <v>1147</v>
      </c>
      <c r="B646" s="706">
        <v>2025</v>
      </c>
      <c r="C646" s="706" t="s">
        <v>2529</v>
      </c>
      <c r="D646" s="706" t="s">
        <v>2530</v>
      </c>
      <c r="E646" s="706" t="s">
        <v>1150</v>
      </c>
      <c r="F646" s="706" t="s">
        <v>1148</v>
      </c>
      <c r="G646" s="706">
        <v>0</v>
      </c>
      <c r="H646" s="706">
        <v>0</v>
      </c>
      <c r="I646" s="706">
        <v>0</v>
      </c>
      <c r="J646" s="706">
        <v>0</v>
      </c>
      <c r="K646" s="706">
        <v>18.350000000000001</v>
      </c>
      <c r="L646" s="706">
        <v>18.350000000000001</v>
      </c>
      <c r="M646" s="706">
        <v>18.350000000000001</v>
      </c>
      <c r="N646" s="706">
        <v>18.350000000000001</v>
      </c>
      <c r="O646" s="706">
        <v>18.350000000000001</v>
      </c>
      <c r="P646" s="706">
        <v>380.2</v>
      </c>
      <c r="Q646" s="706">
        <v>380.2</v>
      </c>
      <c r="R646" s="706">
        <v>380.2</v>
      </c>
      <c r="S646" s="706">
        <v>34.56</v>
      </c>
      <c r="T646" s="706">
        <v>34.56</v>
      </c>
      <c r="U646" s="706">
        <v>0</v>
      </c>
      <c r="V646" s="706">
        <v>0</v>
      </c>
      <c r="W646" s="706">
        <v>0</v>
      </c>
      <c r="X646" s="706">
        <v>0</v>
      </c>
      <c r="Y646" s="706">
        <v>0</v>
      </c>
      <c r="Z646" s="706">
        <v>1</v>
      </c>
      <c r="AA646" s="706">
        <v>1</v>
      </c>
      <c r="AB646" s="706">
        <v>3</v>
      </c>
      <c r="AC646" s="706">
        <v>3</v>
      </c>
      <c r="AD646" s="706">
        <v>3</v>
      </c>
      <c r="AE646" s="706">
        <v>5</v>
      </c>
      <c r="AF646" s="706">
        <v>5</v>
      </c>
      <c r="AG646" s="706">
        <v>5</v>
      </c>
      <c r="AH646" s="706">
        <v>0</v>
      </c>
      <c r="AI646" s="706">
        <v>0</v>
      </c>
      <c r="AJ646" s="905" t="str">
        <f t="shared" si="60"/>
        <v>G47700</v>
      </c>
      <c r="AK646" s="905" t="str">
        <f t="shared" si="61"/>
        <v>VENTE P&amp;A CLIENTS CAROSSE</v>
      </c>
      <c r="AL646" s="905">
        <f>IFERROR(INDEX(G646:R646,1,MATCH(Parametres!$B$3,G$1:R$1,0)-1)*IF(OR(F646="L",F646="S",F646="I"),-1,1),"")</f>
        <v>-380.2</v>
      </c>
      <c r="AM646" s="905">
        <f t="shared" si="62"/>
        <v>0</v>
      </c>
      <c r="AN646" s="905">
        <f>INDEX(G646:R646,1,MATCH(Parametres!$B$3,G$1:R$1,0))*IF(OR(F646="L",F646="S",F646="I"),-1,1)</f>
        <v>-380.2</v>
      </c>
      <c r="AO646" s="487" t="str">
        <f>+VLOOKUP($AJ646,Data_Validation!$A:$D,1,0)</f>
        <v>G47700</v>
      </c>
      <c r="AP646" s="487" t="str">
        <f>+VLOOKUP($AJ646,Data_Validation!$A:$D,3,0)</f>
        <v>Pièces</v>
      </c>
      <c r="AQ646" s="487" t="str">
        <f>+VLOOKUP($AJ646,Data_Validation!$A:$D,4,0)</f>
        <v>Pièces Ro Carrosserie</v>
      </c>
      <c r="AR646" s="487" t="s">
        <v>299</v>
      </c>
      <c r="AS646" s="487" t="str">
        <f>+VLOOKUP($AJ646,Data_Validation!$A:$E,5,0)</f>
        <v>Oui</v>
      </c>
      <c r="AT646" s="904" t="str">
        <f t="shared" si="63"/>
        <v>G47700</v>
      </c>
      <c r="AU646" s="488" t="str">
        <f t="shared" si="64"/>
        <v>VENTE P&amp;A CLIENTS CAROSSE</v>
      </c>
      <c r="AV646" s="899">
        <f>IFERROR(INDEX(V646:AG646,1,MATCH(Parametres!$B$3,V$1:AG$1,0)-1)*IF(OR(C646="L",C646="S",C646="I"),-1,1),"")</f>
        <v>5</v>
      </c>
      <c r="AW646" s="899">
        <f t="shared" si="65"/>
        <v>0</v>
      </c>
      <c r="AX646" s="899">
        <f>INDEX(V646:AG646,1,MATCH(Parametres!$B$3,V$1:AG$1,0))*IF(OR(C646="L",C646="S",C646="I"),-1,1)</f>
        <v>5</v>
      </c>
      <c r="AY646" s="487" t="s">
        <v>337</v>
      </c>
      <c r="AZ646" s="487" t="str">
        <f>+VLOOKUP($AJ646,Data_Validation!$A:$E,5,0)</f>
        <v>Oui</v>
      </c>
    </row>
    <row r="647" spans="1:52" ht="15" customHeight="1">
      <c r="A647" s="706" t="s">
        <v>1147</v>
      </c>
      <c r="B647" s="706">
        <v>2025</v>
      </c>
      <c r="C647" s="706" t="s">
        <v>2531</v>
      </c>
      <c r="D647" s="706" t="s">
        <v>2532</v>
      </c>
      <c r="E647" s="706" t="s">
        <v>1150</v>
      </c>
      <c r="F647" s="706" t="s">
        <v>1148</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G47800</v>
      </c>
      <c r="AK647" s="905" t="str">
        <f t="shared" si="61"/>
        <v>VTES-PCE CARR.CLIENT.CAM.</v>
      </c>
      <c r="AL647" s="905">
        <f>IFERROR(INDEX(G647:R647,1,MATCH(Parametres!$B$3,G$1:R$1,0)-1)*IF(OR(F647="L",F647="S",F647="I"),-1,1),"")</f>
        <v>0</v>
      </c>
      <c r="AM647" s="905">
        <f t="shared" si="62"/>
        <v>0</v>
      </c>
      <c r="AN647" s="905">
        <f>INDEX(G647:R647,1,MATCH(Parametres!$B$3,G$1:R$1,0))*IF(OR(F647="L",F647="S",F647="I"),-1,1)</f>
        <v>0</v>
      </c>
      <c r="AO647" s="487" t="str">
        <f>+VLOOKUP($AJ647,Data_Validation!$A:$D,1,0)</f>
        <v>G47800</v>
      </c>
      <c r="AP647" s="487">
        <f>+VLOOKUP($AJ647,Data_Validation!$A:$D,3,0)</f>
        <v>0</v>
      </c>
      <c r="AQ647" s="487">
        <f>+VLOOKUP($AJ647,Data_Validation!$A:$D,4,0)</f>
        <v>0</v>
      </c>
      <c r="AR647" s="487" t="s">
        <v>299</v>
      </c>
      <c r="AS647" s="487">
        <f>+VLOOKUP($AJ647,Data_Validation!$A:$E,5,0)</f>
        <v>0</v>
      </c>
      <c r="AT647" s="904" t="str">
        <f t="shared" si="63"/>
        <v>G47800</v>
      </c>
      <c r="AU647" s="488" t="str">
        <f t="shared" si="64"/>
        <v>VTES-PCE CARR.CLIENT.CAM.</v>
      </c>
      <c r="AV647" s="899">
        <f>IFERROR(INDEX(V647:AG647,1,MATCH(Parametres!$B$3,V$1:AG$1,0)-1)*IF(OR(C647="L",C647="S",C647="I"),-1,1),"")</f>
        <v>0</v>
      </c>
      <c r="AW647" s="899">
        <f t="shared" si="65"/>
        <v>0</v>
      </c>
      <c r="AX647" s="899">
        <f>INDEX(V647:AG647,1,MATCH(Parametres!$B$3,V$1:AG$1,0))*IF(OR(C647="L",C647="S",C647="I"),-1,1)</f>
        <v>0</v>
      </c>
      <c r="AY647" s="487" t="s">
        <v>337</v>
      </c>
      <c r="AZ647" s="487">
        <f>+VLOOKUP($AJ647,Data_Validation!$A:$E,5,0)</f>
        <v>0</v>
      </c>
    </row>
    <row r="648" spans="1:52" ht="15" customHeight="1">
      <c r="A648" s="706" t="s">
        <v>1147</v>
      </c>
      <c r="B648" s="706">
        <v>2025</v>
      </c>
      <c r="C648" s="706" t="s">
        <v>2533</v>
      </c>
      <c r="D648" s="706" t="s">
        <v>2534</v>
      </c>
      <c r="E648" s="706" t="s">
        <v>1150</v>
      </c>
      <c r="F648" s="706" t="s">
        <v>1148</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G47840</v>
      </c>
      <c r="AK648" s="905" t="str">
        <f t="shared" si="61"/>
        <v>VTES-PCE GOODW.CAM MOYEN</v>
      </c>
      <c r="AL648" s="905">
        <f>IFERROR(INDEX(G648:R648,1,MATCH(Parametres!$B$3,G$1:R$1,0)-1)*IF(OR(F648="L",F648="S",F648="I"),-1,1),"")</f>
        <v>0</v>
      </c>
      <c r="AM648" s="905">
        <f t="shared" si="62"/>
        <v>0</v>
      </c>
      <c r="AN648" s="905">
        <f>INDEX(G648:R648,1,MATCH(Parametres!$B$3,G$1:R$1,0))*IF(OR(F648="L",F648="S",F648="I"),-1,1)</f>
        <v>0</v>
      </c>
      <c r="AO648" s="487" t="str">
        <f>+VLOOKUP($AJ648,Data_Validation!$A:$D,1,0)</f>
        <v>G47840</v>
      </c>
      <c r="AP648" s="487">
        <f>+VLOOKUP($AJ648,Data_Validation!$A:$D,3,0)</f>
        <v>0</v>
      </c>
      <c r="AQ648" s="487">
        <f>+VLOOKUP($AJ648,Data_Validation!$A:$D,4,0)</f>
        <v>0</v>
      </c>
      <c r="AR648" s="487" t="s">
        <v>299</v>
      </c>
      <c r="AS648" s="487">
        <f>+VLOOKUP($AJ648,Data_Validation!$A:$E,5,0)</f>
        <v>0</v>
      </c>
      <c r="AT648" s="904" t="str">
        <f t="shared" si="63"/>
        <v>G47840</v>
      </c>
      <c r="AU648" s="488" t="str">
        <f t="shared" si="64"/>
        <v>VTES-PCE GOODW.CAM MOYEN</v>
      </c>
      <c r="AV648" s="899">
        <f>IFERROR(INDEX(V648:AG648,1,MATCH(Parametres!$B$3,V$1:AG$1,0)-1)*IF(OR(C648="L",C648="S",C648="I"),-1,1),"")</f>
        <v>0</v>
      </c>
      <c r="AW648" s="899">
        <f t="shared" si="65"/>
        <v>0</v>
      </c>
      <c r="AX648" s="899">
        <f>INDEX(V648:AG648,1,MATCH(Parametres!$B$3,V$1:AG$1,0))*IF(OR(C648="L",C648="S",C648="I"),-1,1)</f>
        <v>0</v>
      </c>
      <c r="AY648" s="487" t="s">
        <v>337</v>
      </c>
      <c r="AZ648" s="487">
        <f>+VLOOKUP($AJ648,Data_Validation!$A:$E,5,0)</f>
        <v>0</v>
      </c>
    </row>
    <row r="649" spans="1:52" ht="15" hidden="1" customHeight="1">
      <c r="A649" s="706" t="s">
        <v>1147</v>
      </c>
      <c r="B649" s="706">
        <v>2025</v>
      </c>
      <c r="C649" s="706" t="s">
        <v>2535</v>
      </c>
      <c r="D649" s="706" t="s">
        <v>2536</v>
      </c>
      <c r="E649" s="706" t="s">
        <v>1150</v>
      </c>
      <c r="F649" s="706" t="s">
        <v>1148</v>
      </c>
      <c r="G649" s="706">
        <v>10115.42</v>
      </c>
      <c r="H649" s="706">
        <v>21902.48</v>
      </c>
      <c r="I649" s="706">
        <v>41473.81</v>
      </c>
      <c r="J649" s="706">
        <v>57255.67</v>
      </c>
      <c r="K649" s="706">
        <v>79431.759999999995</v>
      </c>
      <c r="L649" s="706">
        <v>101196.01</v>
      </c>
      <c r="M649" s="706">
        <v>119697.03</v>
      </c>
      <c r="N649" s="706">
        <v>143609.99</v>
      </c>
      <c r="O649" s="706">
        <v>164958.9</v>
      </c>
      <c r="P649" s="706">
        <v>185071.66</v>
      </c>
      <c r="Q649" s="706">
        <v>208443.73</v>
      </c>
      <c r="R649" s="706">
        <v>223432.28</v>
      </c>
      <c r="S649" s="706">
        <v>18949.43</v>
      </c>
      <c r="T649" s="706">
        <v>18949.43</v>
      </c>
      <c r="U649" s="706">
        <v>0</v>
      </c>
      <c r="V649" s="706">
        <v>25</v>
      </c>
      <c r="W649" s="706">
        <v>46</v>
      </c>
      <c r="X649" s="706">
        <v>90</v>
      </c>
      <c r="Y649" s="706">
        <v>131</v>
      </c>
      <c r="Z649" s="706">
        <v>176</v>
      </c>
      <c r="AA649" s="706">
        <v>213</v>
      </c>
      <c r="AB649" s="706">
        <v>249</v>
      </c>
      <c r="AC649" s="706">
        <v>298</v>
      </c>
      <c r="AD649" s="706">
        <v>349</v>
      </c>
      <c r="AE649" s="706">
        <v>403</v>
      </c>
      <c r="AF649" s="706">
        <v>444</v>
      </c>
      <c r="AG649" s="706">
        <v>485</v>
      </c>
      <c r="AH649" s="706">
        <v>40</v>
      </c>
      <c r="AI649" s="706">
        <v>40</v>
      </c>
      <c r="AJ649" s="905" t="str">
        <f t="shared" si="60"/>
        <v>G47900</v>
      </c>
      <c r="AK649" s="905" t="str">
        <f t="shared" si="61"/>
        <v>VTES-PEINTURE CARROSS.</v>
      </c>
      <c r="AL649" s="905">
        <f>IFERROR(INDEX(G649:R649,1,MATCH(Parametres!$B$3,G$1:R$1,0)-1)*IF(OR(F649="L",F649="S",F649="I"),-1,1),"")</f>
        <v>-208443.73</v>
      </c>
      <c r="AM649" s="905">
        <f t="shared" si="62"/>
        <v>-14988.549999999988</v>
      </c>
      <c r="AN649" s="905">
        <f>INDEX(G649:R649,1,MATCH(Parametres!$B$3,G$1:R$1,0))*IF(OR(F649="L",F649="S",F649="I"),-1,1)</f>
        <v>-223432.28</v>
      </c>
      <c r="AO649" s="487" t="str">
        <f>+VLOOKUP($AJ649,Data_Validation!$A:$D,1,0)</f>
        <v>G47900</v>
      </c>
      <c r="AP649" s="487" t="str">
        <f>+VLOOKUP($AJ649,Data_Validation!$A:$D,3,0)</f>
        <v>Carrosserie</v>
      </c>
      <c r="AQ649" s="487" t="str">
        <f>+VLOOKUP($AJ649,Data_Validation!$A:$D,4,0)</f>
        <v>Carrosserie Clients</v>
      </c>
      <c r="AR649" s="487" t="s">
        <v>299</v>
      </c>
      <c r="AS649" s="487" t="str">
        <f>+VLOOKUP($AJ649,Data_Validation!$A:$E,5,0)</f>
        <v>Oui</v>
      </c>
      <c r="AT649" s="904" t="str">
        <f t="shared" si="63"/>
        <v>G47900</v>
      </c>
      <c r="AU649" s="488" t="str">
        <f t="shared" si="64"/>
        <v>VTES-PEINTURE CARROSS.</v>
      </c>
      <c r="AV649" s="899">
        <f>IFERROR(INDEX(V649:AG649,1,MATCH(Parametres!$B$3,V$1:AG$1,0)-1)*IF(OR(C649="L",C649="S",C649="I"),-1,1),"")</f>
        <v>444</v>
      </c>
      <c r="AW649" s="899">
        <f t="shared" si="65"/>
        <v>41</v>
      </c>
      <c r="AX649" s="899">
        <f>INDEX(V649:AG649,1,MATCH(Parametres!$B$3,V$1:AG$1,0))*IF(OR(C649="L",C649="S",C649="I"),-1,1)</f>
        <v>485</v>
      </c>
      <c r="AY649" s="487" t="s">
        <v>337</v>
      </c>
      <c r="AZ649" s="487" t="str">
        <f>+VLOOKUP($AJ649,Data_Validation!$A:$E,5,0)</f>
        <v>Oui</v>
      </c>
    </row>
    <row r="650" spans="1:52" ht="15" hidden="1" customHeight="1">
      <c r="A650" s="706" t="s">
        <v>1147</v>
      </c>
      <c r="B650" s="706">
        <v>2025</v>
      </c>
      <c r="C650" s="706" t="s">
        <v>2547</v>
      </c>
      <c r="D650" s="706" t="s">
        <v>2548</v>
      </c>
      <c r="E650" s="706" t="s">
        <v>1150</v>
      </c>
      <c r="F650" s="706" t="s">
        <v>1148</v>
      </c>
      <c r="G650" s="706">
        <v>42272.94</v>
      </c>
      <c r="H650" s="706">
        <v>87862.63</v>
      </c>
      <c r="I650" s="706">
        <v>170081.83</v>
      </c>
      <c r="J650" s="706">
        <v>201755.58</v>
      </c>
      <c r="K650" s="706">
        <v>267103.39</v>
      </c>
      <c r="L650" s="706">
        <v>332790.12</v>
      </c>
      <c r="M650" s="706">
        <v>365806.88</v>
      </c>
      <c r="N650" s="706">
        <v>428312.76</v>
      </c>
      <c r="O650" s="706">
        <v>503144.04</v>
      </c>
      <c r="P650" s="706">
        <v>550663.39</v>
      </c>
      <c r="Q650" s="706">
        <v>576935.72</v>
      </c>
      <c r="R650" s="706">
        <v>609714.63</v>
      </c>
      <c r="S650" s="706">
        <v>52448.7</v>
      </c>
      <c r="T650" s="706">
        <v>52448.7</v>
      </c>
      <c r="U650" s="706">
        <v>0</v>
      </c>
      <c r="V650" s="706">
        <v>158</v>
      </c>
      <c r="W650" s="706">
        <v>329</v>
      </c>
      <c r="X650" s="706">
        <v>545</v>
      </c>
      <c r="Y650" s="706">
        <v>751</v>
      </c>
      <c r="Z650" s="706">
        <v>973</v>
      </c>
      <c r="AA650" s="706">
        <v>1175</v>
      </c>
      <c r="AB650" s="706">
        <v>1356</v>
      </c>
      <c r="AC650" s="706">
        <v>1581</v>
      </c>
      <c r="AD650" s="706">
        <v>1804</v>
      </c>
      <c r="AE650" s="706">
        <v>1993</v>
      </c>
      <c r="AF650" s="706">
        <v>2142</v>
      </c>
      <c r="AG650" s="706">
        <v>2319</v>
      </c>
      <c r="AH650" s="706">
        <v>195</v>
      </c>
      <c r="AI650" s="706">
        <v>195</v>
      </c>
      <c r="AJ650" s="905" t="str">
        <f t="shared" si="60"/>
        <v>G48000</v>
      </c>
      <c r="AK650" s="905" t="str">
        <f t="shared" si="61"/>
        <v>VTES-PIECES GARANTIES</v>
      </c>
      <c r="AL650" s="905">
        <f>IFERROR(INDEX(G650:R650,1,MATCH(Parametres!$B$3,G$1:R$1,0)-1)*IF(OR(F650="L",F650="S",F650="I"),-1,1),"")</f>
        <v>-576935.72</v>
      </c>
      <c r="AM650" s="905">
        <f t="shared" si="62"/>
        <v>-32778.910000000033</v>
      </c>
      <c r="AN650" s="905">
        <f>INDEX(G650:R650,1,MATCH(Parametres!$B$3,G$1:R$1,0))*IF(OR(F650="L",F650="S",F650="I"),-1,1)</f>
        <v>-609714.63</v>
      </c>
      <c r="AO650" s="487" t="str">
        <f>+VLOOKUP($AJ650,Data_Validation!$A:$D,1,0)</f>
        <v>G48000</v>
      </c>
      <c r="AP650" s="487" t="str">
        <f>+VLOOKUP($AJ650,Data_Validation!$A:$D,3,0)</f>
        <v>Pièces</v>
      </c>
      <c r="AQ650" s="487" t="str">
        <f>+VLOOKUP($AJ650,Data_Validation!$A:$D,4,0)</f>
        <v>P/A Garantie</v>
      </c>
      <c r="AR650" s="487" t="s">
        <v>299</v>
      </c>
      <c r="AS650" s="487" t="str">
        <f>+VLOOKUP($AJ650,Data_Validation!$A:$E,5,0)</f>
        <v>Oui</v>
      </c>
      <c r="AT650" s="904" t="str">
        <f t="shared" si="63"/>
        <v>G48000</v>
      </c>
      <c r="AU650" s="488" t="str">
        <f t="shared" si="64"/>
        <v>VTES-PIECES GARANTIES</v>
      </c>
      <c r="AV650" s="899">
        <f>IFERROR(INDEX(V650:AG650,1,MATCH(Parametres!$B$3,V$1:AG$1,0)-1)*IF(OR(C650="L",C650="S",C650="I"),-1,1),"")</f>
        <v>2142</v>
      </c>
      <c r="AW650" s="899">
        <f t="shared" si="65"/>
        <v>177</v>
      </c>
      <c r="AX650" s="899">
        <f>INDEX(V650:AG650,1,MATCH(Parametres!$B$3,V$1:AG$1,0))*IF(OR(C650="L",C650="S",C650="I"),-1,1)</f>
        <v>2319</v>
      </c>
      <c r="AY650" s="487" t="s">
        <v>337</v>
      </c>
      <c r="AZ650" s="487" t="str">
        <f>+VLOOKUP($AJ650,Data_Validation!$A:$E,5,0)</f>
        <v>Oui</v>
      </c>
    </row>
    <row r="651" spans="1:52" ht="15" hidden="1" customHeight="1">
      <c r="A651" s="706" t="s">
        <v>1147</v>
      </c>
      <c r="B651" s="706">
        <v>2025</v>
      </c>
      <c r="C651" s="706" t="s">
        <v>2549</v>
      </c>
      <c r="D651" s="706" t="s">
        <v>2550</v>
      </c>
      <c r="E651" s="706" t="s">
        <v>1150</v>
      </c>
      <c r="F651" s="706" t="s">
        <v>1148</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G48020</v>
      </c>
      <c r="AK651" s="905" t="str">
        <f t="shared" si="61"/>
        <v>VTES-PCE RECLAM.CAM MOYEN</v>
      </c>
      <c r="AL651" s="905">
        <f>IFERROR(INDEX(G651:R651,1,MATCH(Parametres!$B$3,G$1:R$1,0)-1)*IF(OR(F651="L",F651="S",F651="I"),-1,1),"")</f>
        <v>0</v>
      </c>
      <c r="AM651" s="905">
        <f t="shared" si="62"/>
        <v>0</v>
      </c>
      <c r="AN651" s="905">
        <f>INDEX(G651:R651,1,MATCH(Parametres!$B$3,G$1:R$1,0))*IF(OR(F651="L",F651="S",F651="I"),-1,1)</f>
        <v>0</v>
      </c>
      <c r="AO651" s="487" t="str">
        <f>+VLOOKUP($AJ651,Data_Validation!$A:$D,1,0)</f>
        <v>G48020</v>
      </c>
      <c r="AP651" s="487" t="str">
        <f>+VLOOKUP($AJ651,Data_Validation!$A:$D,3,0)</f>
        <v>Pièces</v>
      </c>
      <c r="AQ651" s="487" t="str">
        <f>+VLOOKUP($AJ651,Data_Validation!$A:$D,4,0)</f>
        <v>P/A Garantie</v>
      </c>
      <c r="AR651" s="487" t="s">
        <v>299</v>
      </c>
      <c r="AS651" s="487" t="str">
        <f>+VLOOKUP($AJ651,Data_Validation!$A:$E,5,0)</f>
        <v>Oui</v>
      </c>
      <c r="AT651" s="904" t="str">
        <f t="shared" si="63"/>
        <v>G48020</v>
      </c>
      <c r="AU651" s="488" t="str">
        <f t="shared" si="64"/>
        <v>VTES-PCE RECLAM.CAM MOYEN</v>
      </c>
      <c r="AV651" s="899">
        <f>IFERROR(INDEX(V651:AG651,1,MATCH(Parametres!$B$3,V$1:AG$1,0)-1)*IF(OR(C651="L",C651="S",C651="I"),-1,1),"")</f>
        <v>0</v>
      </c>
      <c r="AW651" s="899">
        <f t="shared" si="65"/>
        <v>0</v>
      </c>
      <c r="AX651" s="899">
        <f>INDEX(V651:AG651,1,MATCH(Parametres!$B$3,V$1:AG$1,0))*IF(OR(C651="L",C651="S",C651="I"),-1,1)</f>
        <v>0</v>
      </c>
      <c r="AY651" s="487" t="s">
        <v>337</v>
      </c>
      <c r="AZ651" s="487" t="str">
        <f>+VLOOKUP($AJ651,Data_Validation!$A:$E,5,0)</f>
        <v>Oui</v>
      </c>
    </row>
    <row r="652" spans="1:52" ht="15" hidden="1" customHeight="1">
      <c r="A652" s="706" t="s">
        <v>1147</v>
      </c>
      <c r="B652" s="706">
        <v>2025</v>
      </c>
      <c r="C652" s="706" t="s">
        <v>2551</v>
      </c>
      <c r="D652" s="706" t="s">
        <v>2552</v>
      </c>
      <c r="E652" s="706" t="s">
        <v>1150</v>
      </c>
      <c r="F652" s="706" t="s">
        <v>1148</v>
      </c>
      <c r="G652" s="706">
        <v>105412.71</v>
      </c>
      <c r="H652" s="706">
        <v>173089.88</v>
      </c>
      <c r="I652" s="706">
        <v>221777.49</v>
      </c>
      <c r="J652" s="706">
        <v>279288.38</v>
      </c>
      <c r="K652" s="706">
        <v>359974.49</v>
      </c>
      <c r="L652" s="706">
        <v>403023.06</v>
      </c>
      <c r="M652" s="706">
        <v>466549.07</v>
      </c>
      <c r="N652" s="706">
        <v>507378.83</v>
      </c>
      <c r="O652" s="706">
        <v>554121.39</v>
      </c>
      <c r="P652" s="706">
        <v>603735.04000000004</v>
      </c>
      <c r="Q652" s="706">
        <v>647816.81000000006</v>
      </c>
      <c r="R652" s="706">
        <v>690852.63</v>
      </c>
      <c r="S652" s="706">
        <v>58892.44</v>
      </c>
      <c r="T652" s="706">
        <v>58892.44</v>
      </c>
      <c r="U652" s="706">
        <v>0</v>
      </c>
      <c r="V652" s="706">
        <v>170</v>
      </c>
      <c r="W652" s="706">
        <v>266</v>
      </c>
      <c r="X652" s="706">
        <v>462</v>
      </c>
      <c r="Y652" s="706">
        <v>661</v>
      </c>
      <c r="Z652" s="706">
        <v>901</v>
      </c>
      <c r="AA652" s="706">
        <v>1124</v>
      </c>
      <c r="AB652" s="706">
        <v>1300</v>
      </c>
      <c r="AC652" s="706">
        <v>1434</v>
      </c>
      <c r="AD652" s="706">
        <v>1610</v>
      </c>
      <c r="AE652" s="706">
        <v>1763</v>
      </c>
      <c r="AF652" s="706">
        <v>1896</v>
      </c>
      <c r="AG652" s="706">
        <v>2054</v>
      </c>
      <c r="AH652" s="706">
        <v>172</v>
      </c>
      <c r="AI652" s="706">
        <v>172</v>
      </c>
      <c r="AJ652" s="905" t="str">
        <f t="shared" si="60"/>
        <v>G48100</v>
      </c>
      <c r="AK652" s="905" t="str">
        <f t="shared" si="61"/>
        <v>VTES-PIECES INTERNE</v>
      </c>
      <c r="AL652" s="905">
        <f>IFERROR(INDEX(G652:R652,1,MATCH(Parametres!$B$3,G$1:R$1,0)-1)*IF(OR(F652="L",F652="S",F652="I"),-1,1),"")</f>
        <v>-647816.81000000006</v>
      </c>
      <c r="AM652" s="905">
        <f t="shared" si="62"/>
        <v>-43035.819999999949</v>
      </c>
      <c r="AN652" s="905">
        <f>INDEX(G652:R652,1,MATCH(Parametres!$B$3,G$1:R$1,0))*IF(OR(F652="L",F652="S",F652="I"),-1,1)</f>
        <v>-690852.63</v>
      </c>
      <c r="AO652" s="487" t="str">
        <f>+VLOOKUP($AJ652,Data_Validation!$A:$D,1,0)</f>
        <v>G48100</v>
      </c>
      <c r="AP652" s="487" t="str">
        <f>+VLOOKUP($AJ652,Data_Validation!$A:$D,3,0)</f>
        <v>Pièces</v>
      </c>
      <c r="AQ652" s="487" t="str">
        <f>+VLOOKUP($AJ652,Data_Validation!$A:$D,4,0)</f>
        <v>Ventes Internes</v>
      </c>
      <c r="AR652" s="487" t="s">
        <v>299</v>
      </c>
      <c r="AS652" s="487" t="str">
        <f>+VLOOKUP($AJ652,Data_Validation!$A:$E,5,0)</f>
        <v>Oui</v>
      </c>
      <c r="AT652" s="904" t="str">
        <f t="shared" si="63"/>
        <v>G48100</v>
      </c>
      <c r="AU652" s="488" t="str">
        <f t="shared" si="64"/>
        <v>VTES-PIECES INTERNE</v>
      </c>
      <c r="AV652" s="899">
        <f>IFERROR(INDEX(V652:AG652,1,MATCH(Parametres!$B$3,V$1:AG$1,0)-1)*IF(OR(C652="L",C652="S",C652="I"),-1,1),"")</f>
        <v>1896</v>
      </c>
      <c r="AW652" s="899">
        <f t="shared" si="65"/>
        <v>158</v>
      </c>
      <c r="AX652" s="899">
        <f>INDEX(V652:AG652,1,MATCH(Parametres!$B$3,V$1:AG$1,0))*IF(OR(C652="L",C652="S",C652="I"),-1,1)</f>
        <v>2054</v>
      </c>
      <c r="AY652" s="487" t="s">
        <v>337</v>
      </c>
      <c r="AZ652" s="487" t="str">
        <f>+VLOOKUP($AJ652,Data_Validation!$A:$E,5,0)</f>
        <v>Oui</v>
      </c>
    </row>
    <row r="653" spans="1:52" ht="15" hidden="1" customHeight="1">
      <c r="A653" s="706" t="s">
        <v>1147</v>
      </c>
      <c r="B653" s="706">
        <v>2025</v>
      </c>
      <c r="C653" s="706" t="s">
        <v>2553</v>
      </c>
      <c r="D653" s="706" t="s">
        <v>2554</v>
      </c>
      <c r="E653" s="706" t="s">
        <v>1150</v>
      </c>
      <c r="F653" s="706" t="s">
        <v>1148</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G48120</v>
      </c>
      <c r="AK653" s="905" t="str">
        <f t="shared" si="61"/>
        <v>VTES-PCE INTERN CAM MOYEN</v>
      </c>
      <c r="AL653" s="905">
        <f>IFERROR(INDEX(G653:R653,1,MATCH(Parametres!$B$3,G$1:R$1,0)-1)*IF(OR(F653="L",F653="S",F653="I"),-1,1),"")</f>
        <v>0</v>
      </c>
      <c r="AM653" s="905">
        <f t="shared" si="62"/>
        <v>0</v>
      </c>
      <c r="AN653" s="905">
        <f>INDEX(G653:R653,1,MATCH(Parametres!$B$3,G$1:R$1,0))*IF(OR(F653="L",F653="S",F653="I"),-1,1)</f>
        <v>0</v>
      </c>
      <c r="AO653" s="487" t="str">
        <f>+VLOOKUP($AJ653,Data_Validation!$A:$D,1,0)</f>
        <v>G48120</v>
      </c>
      <c r="AP653" s="487" t="str">
        <f>+VLOOKUP($AJ653,Data_Validation!$A:$D,3,0)</f>
        <v>Pièces</v>
      </c>
      <c r="AQ653" s="487" t="str">
        <f>+VLOOKUP($AJ653,Data_Validation!$A:$D,4,0)</f>
        <v>Ventes Internes</v>
      </c>
      <c r="AR653" s="487" t="s">
        <v>299</v>
      </c>
      <c r="AS653" s="487" t="str">
        <f>+VLOOKUP($AJ653,Data_Validation!$A:$E,5,0)</f>
        <v>Oui</v>
      </c>
      <c r="AT653" s="904" t="str">
        <f t="shared" si="63"/>
        <v>G48120</v>
      </c>
      <c r="AU653" s="488" t="str">
        <f t="shared" si="64"/>
        <v>VTES-PCE INTERN CAM MOYEN</v>
      </c>
      <c r="AV653" s="899">
        <f>IFERROR(INDEX(V653:AG653,1,MATCH(Parametres!$B$3,V$1:AG$1,0)-1)*IF(OR(C653="L",C653="S",C653="I"),-1,1),"")</f>
        <v>0</v>
      </c>
      <c r="AW653" s="899">
        <f t="shared" si="65"/>
        <v>0</v>
      </c>
      <c r="AX653" s="899">
        <f>INDEX(V653:AG653,1,MATCH(Parametres!$B$3,V$1:AG$1,0))*IF(OR(C653="L",C653="S",C653="I"),-1,1)</f>
        <v>0</v>
      </c>
      <c r="AY653" s="487" t="s">
        <v>337</v>
      </c>
      <c r="AZ653" s="487" t="str">
        <f>+VLOOKUP($AJ653,Data_Validation!$A:$E,5,0)</f>
        <v>Oui</v>
      </c>
    </row>
    <row r="654" spans="1:52" ht="15" hidden="1" customHeight="1">
      <c r="A654" s="706" t="s">
        <v>1147</v>
      </c>
      <c r="B654" s="706">
        <v>2025</v>
      </c>
      <c r="C654" s="706" t="s">
        <v>2555</v>
      </c>
      <c r="D654" s="706" t="s">
        <v>2556</v>
      </c>
      <c r="E654" s="706" t="s">
        <v>1150</v>
      </c>
      <c r="F654" s="706" t="s">
        <v>1148</v>
      </c>
      <c r="G654" s="706">
        <v>37724.15</v>
      </c>
      <c r="H654" s="706">
        <v>61638.98</v>
      </c>
      <c r="I654" s="706">
        <v>95861.21</v>
      </c>
      <c r="J654" s="706">
        <v>117976.27</v>
      </c>
      <c r="K654" s="706">
        <v>154573.35999999999</v>
      </c>
      <c r="L654" s="706">
        <v>185170.21</v>
      </c>
      <c r="M654" s="706">
        <v>207538.42</v>
      </c>
      <c r="N654" s="706">
        <v>244698.56</v>
      </c>
      <c r="O654" s="706">
        <v>273759.69</v>
      </c>
      <c r="P654" s="706">
        <v>301635.98</v>
      </c>
      <c r="Q654" s="706">
        <v>338397.84</v>
      </c>
      <c r="R654" s="706">
        <v>361385.58</v>
      </c>
      <c r="S654" s="706">
        <v>30763.439999999999</v>
      </c>
      <c r="T654" s="706">
        <v>30763.439999999999</v>
      </c>
      <c r="U654" s="706">
        <v>0</v>
      </c>
      <c r="V654" s="706">
        <v>197</v>
      </c>
      <c r="W654" s="706">
        <v>306</v>
      </c>
      <c r="X654" s="706">
        <v>459</v>
      </c>
      <c r="Y654" s="706">
        <v>612</v>
      </c>
      <c r="Z654" s="706">
        <v>793</v>
      </c>
      <c r="AA654" s="706">
        <v>931</v>
      </c>
      <c r="AB654" s="706">
        <v>1061</v>
      </c>
      <c r="AC654" s="706">
        <v>1210</v>
      </c>
      <c r="AD654" s="706">
        <v>1365</v>
      </c>
      <c r="AE654" s="706">
        <v>1554</v>
      </c>
      <c r="AF654" s="706">
        <v>1720</v>
      </c>
      <c r="AG654" s="706">
        <v>1858</v>
      </c>
      <c r="AH654" s="706">
        <v>156</v>
      </c>
      <c r="AI654" s="706">
        <v>156</v>
      </c>
      <c r="AJ654" s="905" t="str">
        <f t="shared" si="60"/>
        <v>G48200</v>
      </c>
      <c r="AK654" s="905" t="str">
        <f t="shared" si="61"/>
        <v>VTES-PIECES AU DETAIL</v>
      </c>
      <c r="AL654" s="905">
        <f>IFERROR(INDEX(G654:R654,1,MATCH(Parametres!$B$3,G$1:R$1,0)-1)*IF(OR(F654="L",F654="S",F654="I"),-1,1),"")</f>
        <v>-338397.84</v>
      </c>
      <c r="AM654" s="905">
        <f t="shared" si="62"/>
        <v>-22987.739999999991</v>
      </c>
      <c r="AN654" s="905">
        <f>INDEX(G654:R654,1,MATCH(Parametres!$B$3,G$1:R$1,0))*IF(OR(F654="L",F654="S",F654="I"),-1,1)</f>
        <v>-361385.58</v>
      </c>
      <c r="AO654" s="487" t="str">
        <f>+VLOOKUP($AJ654,Data_Validation!$A:$D,1,0)</f>
        <v>G48200</v>
      </c>
      <c r="AP654" s="487" t="str">
        <f>+VLOOKUP($AJ654,Data_Validation!$A:$D,3,0)</f>
        <v>Pièces</v>
      </c>
      <c r="AQ654" s="487" t="str">
        <f>+VLOOKUP($AJ654,Data_Validation!$A:$D,4,0)</f>
        <v>Ventes Détails</v>
      </c>
      <c r="AR654" s="487" t="s">
        <v>299</v>
      </c>
      <c r="AS654" s="487" t="str">
        <f>+VLOOKUP($AJ654,Data_Validation!$A:$E,5,0)</f>
        <v>Oui</v>
      </c>
      <c r="AT654" s="904" t="str">
        <f t="shared" si="63"/>
        <v>G48200</v>
      </c>
      <c r="AU654" s="488" t="str">
        <f t="shared" si="64"/>
        <v>VTES-PIECES AU DETAIL</v>
      </c>
      <c r="AV654" s="899">
        <f>IFERROR(INDEX(V654:AG654,1,MATCH(Parametres!$B$3,V$1:AG$1,0)-1)*IF(OR(C654="L",C654="S",C654="I"),-1,1),"")</f>
        <v>1720</v>
      </c>
      <c r="AW654" s="899">
        <f t="shared" si="65"/>
        <v>138</v>
      </c>
      <c r="AX654" s="899">
        <f>INDEX(V654:AG654,1,MATCH(Parametres!$B$3,V$1:AG$1,0))*IF(OR(C654="L",C654="S",C654="I"),-1,1)</f>
        <v>1858</v>
      </c>
      <c r="AY654" s="487" t="s">
        <v>337</v>
      </c>
      <c r="AZ654" s="487" t="str">
        <f>+VLOOKUP($AJ654,Data_Validation!$A:$E,5,0)</f>
        <v>Oui</v>
      </c>
    </row>
    <row r="655" spans="1:52" ht="15" hidden="1" customHeight="1">
      <c r="A655" s="706" t="s">
        <v>1147</v>
      </c>
      <c r="B655" s="706">
        <v>2025</v>
      </c>
      <c r="C655" s="706" t="s">
        <v>2557</v>
      </c>
      <c r="D655" s="706" t="s">
        <v>2558</v>
      </c>
      <c r="E655" s="706" t="s">
        <v>1150</v>
      </c>
      <c r="F655" s="706" t="s">
        <v>1148</v>
      </c>
      <c r="G655" s="706">
        <v>122932.1</v>
      </c>
      <c r="H655" s="706">
        <v>266077.17</v>
      </c>
      <c r="I655" s="706">
        <v>418248.82</v>
      </c>
      <c r="J655" s="706">
        <v>594713.93999999994</v>
      </c>
      <c r="K655" s="706">
        <v>739427.26</v>
      </c>
      <c r="L655" s="706">
        <v>864560.08</v>
      </c>
      <c r="M655" s="706">
        <v>994797.33</v>
      </c>
      <c r="N655" s="706">
        <v>1144528.8400000001</v>
      </c>
      <c r="O655" s="706">
        <v>1337705.26</v>
      </c>
      <c r="P655" s="706">
        <v>1437560.94</v>
      </c>
      <c r="Q655" s="706">
        <v>1548991.32</v>
      </c>
      <c r="R655" s="706">
        <v>1672471.62</v>
      </c>
      <c r="S655" s="706">
        <v>140817.39000000001</v>
      </c>
      <c r="T655" s="706">
        <v>140817.39000000001</v>
      </c>
      <c r="U655" s="706">
        <v>0</v>
      </c>
      <c r="V655" s="706">
        <v>344</v>
      </c>
      <c r="W655" s="706">
        <v>712</v>
      </c>
      <c r="X655" s="706">
        <v>1154</v>
      </c>
      <c r="Y655" s="706">
        <v>1613</v>
      </c>
      <c r="Z655" s="706">
        <v>2013</v>
      </c>
      <c r="AA655" s="706">
        <v>2308</v>
      </c>
      <c r="AB655" s="706">
        <v>2663</v>
      </c>
      <c r="AC655" s="706">
        <v>3016</v>
      </c>
      <c r="AD655" s="706">
        <v>3422</v>
      </c>
      <c r="AE655" s="706">
        <v>3764</v>
      </c>
      <c r="AF655" s="706">
        <v>4061</v>
      </c>
      <c r="AG655" s="706">
        <v>4335</v>
      </c>
      <c r="AH655" s="706">
        <v>369</v>
      </c>
      <c r="AI655" s="706">
        <v>369</v>
      </c>
      <c r="AJ655" s="905" t="str">
        <f t="shared" si="60"/>
        <v>G48300</v>
      </c>
      <c r="AK655" s="905" t="str">
        <f t="shared" si="61"/>
        <v>VTES-PIECES EN GROS</v>
      </c>
      <c r="AL655" s="905">
        <f>IFERROR(INDEX(G655:R655,1,MATCH(Parametres!$B$3,G$1:R$1,0)-1)*IF(OR(F655="L",F655="S",F655="I"),-1,1),"")</f>
        <v>-1548991.32</v>
      </c>
      <c r="AM655" s="905">
        <f t="shared" si="62"/>
        <v>-123480.30000000005</v>
      </c>
      <c r="AN655" s="905">
        <f>INDEX(G655:R655,1,MATCH(Parametres!$B$3,G$1:R$1,0))*IF(OR(F655="L",F655="S",F655="I"),-1,1)</f>
        <v>-1672471.62</v>
      </c>
      <c r="AO655" s="487" t="str">
        <f>+VLOOKUP($AJ655,Data_Validation!$A:$D,1,0)</f>
        <v>G48300</v>
      </c>
      <c r="AP655" s="487" t="str">
        <f>+VLOOKUP($AJ655,Data_Validation!$A:$D,3,0)</f>
        <v>Pièces</v>
      </c>
      <c r="AQ655" s="487" t="str">
        <f>+VLOOKUP($AJ655,Data_Validation!$A:$D,4,0)</f>
        <v>Ventes de Gros</v>
      </c>
      <c r="AR655" s="487" t="s">
        <v>299</v>
      </c>
      <c r="AS655" s="487" t="str">
        <f>+VLOOKUP($AJ655,Data_Validation!$A:$E,5,0)</f>
        <v>Oui</v>
      </c>
      <c r="AT655" s="904" t="str">
        <f t="shared" si="63"/>
        <v>G48300</v>
      </c>
      <c r="AU655" s="488" t="str">
        <f t="shared" si="64"/>
        <v>VTES-PIECES EN GROS</v>
      </c>
      <c r="AV655" s="899">
        <f>IFERROR(INDEX(V655:AG655,1,MATCH(Parametres!$B$3,V$1:AG$1,0)-1)*IF(OR(C655="L",C655="S",C655="I"),-1,1),"")</f>
        <v>4061</v>
      </c>
      <c r="AW655" s="899">
        <f t="shared" si="65"/>
        <v>274</v>
      </c>
      <c r="AX655" s="899">
        <f>INDEX(V655:AG655,1,MATCH(Parametres!$B$3,V$1:AG$1,0))*IF(OR(C655="L",C655="S",C655="I"),-1,1)</f>
        <v>4335</v>
      </c>
      <c r="AY655" s="487" t="s">
        <v>337</v>
      </c>
      <c r="AZ655" s="487" t="str">
        <f>+VLOOKUP($AJ655,Data_Validation!$A:$E,5,0)</f>
        <v>Oui</v>
      </c>
    </row>
    <row r="656" spans="1:52" ht="15" customHeight="1">
      <c r="A656" s="706" t="s">
        <v>1147</v>
      </c>
      <c r="B656" s="706">
        <v>2025</v>
      </c>
      <c r="C656" s="706" t="s">
        <v>2559</v>
      </c>
      <c r="D656" s="706" t="s">
        <v>2560</v>
      </c>
      <c r="E656" s="706" t="s">
        <v>333</v>
      </c>
      <c r="F656" s="706" t="s">
        <v>1148</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G48700</v>
      </c>
      <c r="AK656" s="905" t="str">
        <f t="shared" si="61"/>
        <v>*ESCOMPTES DE VOLUME</v>
      </c>
      <c r="AL656" s="905">
        <f>IFERROR(INDEX(G656:R656,1,MATCH(Parametres!$B$3,G$1:R$1,0)-1)*IF(OR(F656="L",F656="S",F656="I"),-1,1),"")</f>
        <v>0</v>
      </c>
      <c r="AM656" s="905">
        <f t="shared" si="62"/>
        <v>0</v>
      </c>
      <c r="AN656" s="905">
        <f>INDEX(G656:R656,1,MATCH(Parametres!$B$3,G$1:R$1,0))*IF(OR(F656="L",F656="S",F656="I"),-1,1)</f>
        <v>0</v>
      </c>
      <c r="AO656" s="487" t="str">
        <f>+VLOOKUP($AJ656,Data_Validation!$A:$D,1,0)</f>
        <v>G48700</v>
      </c>
      <c r="AP656" s="487">
        <f>+VLOOKUP($AJ656,Data_Validation!$A:$D,3,0)</f>
        <v>0</v>
      </c>
      <c r="AQ656" s="487">
        <f>+VLOOKUP($AJ656,Data_Validation!$A:$D,4,0)</f>
        <v>0</v>
      </c>
      <c r="AR656" s="487" t="s">
        <v>299</v>
      </c>
      <c r="AS656" s="487">
        <f>+VLOOKUP($AJ656,Data_Validation!$A:$E,5,0)</f>
        <v>0</v>
      </c>
      <c r="AT656" s="904" t="str">
        <f t="shared" si="63"/>
        <v>G48700</v>
      </c>
      <c r="AU656" s="488" t="str">
        <f t="shared" si="64"/>
        <v>*ESCOMPTES DE VOLUME</v>
      </c>
      <c r="AV656" s="899">
        <f>IFERROR(INDEX(V656:AG656,1,MATCH(Parametres!$B$3,V$1:AG$1,0)-1)*IF(OR(C656="L",C656="S",C656="I"),-1,1),"")</f>
        <v>0</v>
      </c>
      <c r="AW656" s="899">
        <f t="shared" si="65"/>
        <v>0</v>
      </c>
      <c r="AX656" s="899">
        <f>INDEX(V656:AG656,1,MATCH(Parametres!$B$3,V$1:AG$1,0))*IF(OR(C656="L",C656="S",C656="I"),-1,1)</f>
        <v>0</v>
      </c>
      <c r="AY656" s="487" t="s">
        <v>337</v>
      </c>
      <c r="AZ656" s="487">
        <f>+VLOOKUP($AJ656,Data_Validation!$A:$E,5,0)</f>
        <v>0</v>
      </c>
    </row>
    <row r="657" spans="1:52" ht="15" customHeight="1">
      <c r="A657" s="706" t="s">
        <v>1147</v>
      </c>
      <c r="B657" s="706">
        <v>2025</v>
      </c>
      <c r="C657" s="706" t="s">
        <v>2561</v>
      </c>
      <c r="D657" s="706" t="s">
        <v>2562</v>
      </c>
      <c r="E657" s="706" t="s">
        <v>333</v>
      </c>
      <c r="F657" s="706" t="s">
        <v>1148</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G48800</v>
      </c>
      <c r="AK657" s="905" t="str">
        <f t="shared" si="61"/>
        <v>*RECTIFIC.STOCK PIECES</v>
      </c>
      <c r="AL657" s="905">
        <f>IFERROR(INDEX(G657:R657,1,MATCH(Parametres!$B$3,G$1:R$1,0)-1)*IF(OR(F657="L",F657="S",F657="I"),-1,1),"")</f>
        <v>0</v>
      </c>
      <c r="AM657" s="905">
        <f t="shared" si="62"/>
        <v>0</v>
      </c>
      <c r="AN657" s="905">
        <f>INDEX(G657:R657,1,MATCH(Parametres!$B$3,G$1:R$1,0))*IF(OR(F657="L",F657="S",F657="I"),-1,1)</f>
        <v>0</v>
      </c>
      <c r="AO657" s="487" t="str">
        <f>+VLOOKUP($AJ657,Data_Validation!$A:$D,1,0)</f>
        <v>G48800</v>
      </c>
      <c r="AP657" s="487">
        <f>+VLOOKUP($AJ657,Data_Validation!$A:$D,3,0)</f>
        <v>0</v>
      </c>
      <c r="AQ657" s="487">
        <f>+VLOOKUP($AJ657,Data_Validation!$A:$D,4,0)</f>
        <v>0</v>
      </c>
      <c r="AR657" s="487" t="s">
        <v>299</v>
      </c>
      <c r="AS657" s="487">
        <f>+VLOOKUP($AJ657,Data_Validation!$A:$E,5,0)</f>
        <v>0</v>
      </c>
      <c r="AT657" s="904" t="str">
        <f t="shared" si="63"/>
        <v>G48800</v>
      </c>
      <c r="AU657" s="488" t="str">
        <f t="shared" si="64"/>
        <v>*RECTIFIC.STOCK PIECES</v>
      </c>
      <c r="AV657" s="899">
        <f>IFERROR(INDEX(V657:AG657,1,MATCH(Parametres!$B$3,V$1:AG$1,0)-1)*IF(OR(C657="L",C657="S",C657="I"),-1,1),"")</f>
        <v>0</v>
      </c>
      <c r="AW657" s="899">
        <f t="shared" si="65"/>
        <v>0</v>
      </c>
      <c r="AX657" s="899">
        <f>INDEX(V657:AG657,1,MATCH(Parametres!$B$3,V$1:AG$1,0))*IF(OR(C657="L",C657="S",C657="I"),-1,1)</f>
        <v>0</v>
      </c>
      <c r="AY657" s="487" t="s">
        <v>337</v>
      </c>
      <c r="AZ657" s="487">
        <f>+VLOOKUP($AJ657,Data_Validation!$A:$E,5,0)</f>
        <v>0</v>
      </c>
    </row>
    <row r="658" spans="1:52" ht="15" hidden="1" customHeight="1">
      <c r="A658" s="706" t="s">
        <v>1147</v>
      </c>
      <c r="B658" s="706">
        <v>2025</v>
      </c>
      <c r="C658" s="706" t="s">
        <v>2563</v>
      </c>
      <c r="D658" s="706" t="s">
        <v>2564</v>
      </c>
      <c r="E658" s="706" t="s">
        <v>1150</v>
      </c>
      <c r="F658" s="706" t="s">
        <v>1148</v>
      </c>
      <c r="G658" s="706">
        <v>20164.84</v>
      </c>
      <c r="H658" s="706">
        <v>26047.82</v>
      </c>
      <c r="I658" s="706">
        <v>33977.300000000003</v>
      </c>
      <c r="J658" s="706">
        <v>49787.040000000001</v>
      </c>
      <c r="K658" s="706">
        <v>61746</v>
      </c>
      <c r="L658" s="706">
        <v>65059.42</v>
      </c>
      <c r="M658" s="706">
        <v>68787.789999999994</v>
      </c>
      <c r="N658" s="706">
        <v>86120.21</v>
      </c>
      <c r="O658" s="706">
        <v>106518.46</v>
      </c>
      <c r="P658" s="706">
        <v>151641.01999999999</v>
      </c>
      <c r="Q658" s="706">
        <v>224013.94</v>
      </c>
      <c r="R658" s="706">
        <v>275366.23</v>
      </c>
      <c r="S658" s="706">
        <v>20364.900000000001</v>
      </c>
      <c r="T658" s="706">
        <v>20364.900000000001</v>
      </c>
      <c r="U658" s="706">
        <v>0</v>
      </c>
      <c r="V658" s="706">
        <v>33</v>
      </c>
      <c r="W658" s="706">
        <v>43</v>
      </c>
      <c r="X658" s="706">
        <v>51</v>
      </c>
      <c r="Y658" s="706">
        <v>65</v>
      </c>
      <c r="Z658" s="706">
        <v>75</v>
      </c>
      <c r="AA658" s="706">
        <v>83</v>
      </c>
      <c r="AB658" s="706">
        <v>89</v>
      </c>
      <c r="AC658" s="706">
        <v>109</v>
      </c>
      <c r="AD658" s="706">
        <v>135</v>
      </c>
      <c r="AE658" s="706">
        <v>180</v>
      </c>
      <c r="AF658" s="706">
        <v>258</v>
      </c>
      <c r="AG658" s="706">
        <v>315</v>
      </c>
      <c r="AH658" s="706">
        <v>23</v>
      </c>
      <c r="AI658" s="706">
        <v>23</v>
      </c>
      <c r="AJ658" s="905" t="str">
        <f t="shared" si="60"/>
        <v>G49000</v>
      </c>
      <c r="AK658" s="905" t="str">
        <f t="shared" si="61"/>
        <v>VTES-DE PNEUS</v>
      </c>
      <c r="AL658" s="905">
        <f>IFERROR(INDEX(G658:R658,1,MATCH(Parametres!$B$3,G$1:R$1,0)-1)*IF(OR(F658="L",F658="S",F658="I"),-1,1),"")</f>
        <v>-224013.94</v>
      </c>
      <c r="AM658" s="905">
        <f t="shared" si="62"/>
        <v>-51352.289999999979</v>
      </c>
      <c r="AN658" s="905">
        <f>INDEX(G658:R658,1,MATCH(Parametres!$B$3,G$1:R$1,0))*IF(OR(F658="L",F658="S",F658="I"),-1,1)</f>
        <v>-275366.23</v>
      </c>
      <c r="AO658" s="487" t="str">
        <f>+VLOOKUP($AJ658,Data_Validation!$A:$D,1,0)</f>
        <v>G49000</v>
      </c>
      <c r="AP658" s="487" t="str">
        <f>+VLOOKUP($AJ658,Data_Validation!$A:$D,3,0)</f>
        <v>Pièces</v>
      </c>
      <c r="AQ658" s="487" t="str">
        <f>+VLOOKUP($AJ658,Data_Validation!$A:$D,4,0)</f>
        <v>Ventes Pneus</v>
      </c>
      <c r="AR658" s="487" t="s">
        <v>299</v>
      </c>
      <c r="AS658" s="487" t="str">
        <f>+VLOOKUP($AJ658,Data_Validation!$A:$E,5,0)</f>
        <v>Oui</v>
      </c>
      <c r="AT658" s="904" t="str">
        <f t="shared" si="63"/>
        <v>G49000</v>
      </c>
      <c r="AU658" s="488" t="str">
        <f t="shared" si="64"/>
        <v>VTES-DE PNEUS</v>
      </c>
      <c r="AV658" s="899">
        <f>IFERROR(INDEX(V658:AG658,1,MATCH(Parametres!$B$3,V$1:AG$1,0)-1)*IF(OR(C658="L",C658="S",C658="I"),-1,1),"")</f>
        <v>258</v>
      </c>
      <c r="AW658" s="899">
        <f t="shared" si="65"/>
        <v>57</v>
      </c>
      <c r="AX658" s="899">
        <f>INDEX(V658:AG658,1,MATCH(Parametres!$B$3,V$1:AG$1,0))*IF(OR(C658="L",C658="S",C658="I"),-1,1)</f>
        <v>315</v>
      </c>
      <c r="AY658" s="487" t="s">
        <v>337</v>
      </c>
      <c r="AZ658" s="487" t="str">
        <f>+VLOOKUP($AJ658,Data_Validation!$A:$E,5,0)</f>
        <v>Oui</v>
      </c>
    </row>
    <row r="659" spans="1:52" ht="15" hidden="1" customHeight="1">
      <c r="A659" s="706" t="s">
        <v>1147</v>
      </c>
      <c r="B659" s="706">
        <v>2025</v>
      </c>
      <c r="C659" s="706" t="s">
        <v>2565</v>
      </c>
      <c r="D659" s="706" t="s">
        <v>2566</v>
      </c>
      <c r="E659" s="706" t="s">
        <v>1150</v>
      </c>
      <c r="F659" s="706" t="s">
        <v>1148</v>
      </c>
      <c r="G659" s="706">
        <v>4206.0200000000004</v>
      </c>
      <c r="H659" s="706">
        <v>7433.37</v>
      </c>
      <c r="I659" s="706">
        <v>10936.94</v>
      </c>
      <c r="J659" s="706">
        <v>14011.43</v>
      </c>
      <c r="K659" s="706">
        <v>17709.53</v>
      </c>
      <c r="L659" s="706">
        <v>27851.759999999998</v>
      </c>
      <c r="M659" s="706">
        <v>42790.21</v>
      </c>
      <c r="N659" s="706">
        <v>57019.79</v>
      </c>
      <c r="O659" s="706">
        <v>69069.7</v>
      </c>
      <c r="P659" s="706">
        <v>80665.7</v>
      </c>
      <c r="Q659" s="706">
        <v>89063.61</v>
      </c>
      <c r="R659" s="706">
        <v>100296.46</v>
      </c>
      <c r="S659" s="706">
        <v>8096.69</v>
      </c>
      <c r="T659" s="706">
        <v>8096.69</v>
      </c>
      <c r="U659" s="706">
        <v>0</v>
      </c>
      <c r="V659" s="706">
        <v>26</v>
      </c>
      <c r="W659" s="706">
        <v>50</v>
      </c>
      <c r="X659" s="706">
        <v>76</v>
      </c>
      <c r="Y659" s="706">
        <v>95</v>
      </c>
      <c r="Z659" s="706">
        <v>122</v>
      </c>
      <c r="AA659" s="706">
        <v>266</v>
      </c>
      <c r="AB659" s="706">
        <v>439</v>
      </c>
      <c r="AC659" s="706">
        <v>631</v>
      </c>
      <c r="AD659" s="706">
        <v>797</v>
      </c>
      <c r="AE659" s="706">
        <v>959</v>
      </c>
      <c r="AF659" s="706">
        <v>1088</v>
      </c>
      <c r="AG659" s="706">
        <v>1228</v>
      </c>
      <c r="AH659" s="706">
        <v>99</v>
      </c>
      <c r="AI659" s="706">
        <v>99</v>
      </c>
      <c r="AJ659" s="905" t="str">
        <f t="shared" ref="AJ659:AJ722" si="66">C659</f>
        <v>G49100</v>
      </c>
      <c r="AK659" s="905" t="str">
        <f t="shared" ref="AK659:AK722" si="67">D659</f>
        <v>VTES-HUILES &amp; GRAISSE</v>
      </c>
      <c r="AL659" s="905">
        <f>IFERROR(INDEX(G659:R659,1,MATCH(Parametres!$B$3,G$1:R$1,0)-1)*IF(OR(F659="L",F659="S",F659="I"),-1,1),"")</f>
        <v>-89063.61</v>
      </c>
      <c r="AM659" s="905">
        <f t="shared" si="62"/>
        <v>-11232.850000000006</v>
      </c>
      <c r="AN659" s="905">
        <f>INDEX(G659:R659,1,MATCH(Parametres!$B$3,G$1:R$1,0))*IF(OR(F659="L",F659="S",F659="I"),-1,1)</f>
        <v>-100296.46</v>
      </c>
      <c r="AO659" s="487" t="str">
        <f>+VLOOKUP($AJ659,Data_Validation!$A:$D,1,0)</f>
        <v>G49100</v>
      </c>
      <c r="AP659" s="487" t="str">
        <f>+VLOOKUP($AJ659,Data_Validation!$A:$D,3,0)</f>
        <v>Pièces</v>
      </c>
      <c r="AQ659" s="487" t="str">
        <f>+VLOOKUP($AJ659,Data_Validation!$A:$D,4,0)</f>
        <v>Huiles et Graisse</v>
      </c>
      <c r="AR659" s="487" t="s">
        <v>299</v>
      </c>
      <c r="AS659" s="487" t="str">
        <f>+VLOOKUP($AJ659,Data_Validation!$A:$E,5,0)</f>
        <v>Oui</v>
      </c>
      <c r="AT659" s="904" t="str">
        <f t="shared" si="63"/>
        <v>G49100</v>
      </c>
      <c r="AU659" s="488" t="str">
        <f t="shared" si="64"/>
        <v>VTES-HUILES &amp; GRAISSE</v>
      </c>
      <c r="AV659" s="899">
        <f>IFERROR(INDEX(V659:AG659,1,MATCH(Parametres!$B$3,V$1:AG$1,0)-1)*IF(OR(C659="L",C659="S",C659="I"),-1,1),"")</f>
        <v>1088</v>
      </c>
      <c r="AW659" s="899">
        <f t="shared" si="65"/>
        <v>140</v>
      </c>
      <c r="AX659" s="899">
        <f>INDEX(V659:AG659,1,MATCH(Parametres!$B$3,V$1:AG$1,0))*IF(OR(C659="L",C659="S",C659="I"),-1,1)</f>
        <v>1228</v>
      </c>
      <c r="AY659" s="487" t="s">
        <v>337</v>
      </c>
      <c r="AZ659" s="487" t="str">
        <f>+VLOOKUP($AJ659,Data_Validation!$A:$E,5,0)</f>
        <v>Oui</v>
      </c>
    </row>
    <row r="660" spans="1:52" ht="15" hidden="1" customHeight="1">
      <c r="A660" s="706" t="s">
        <v>1147</v>
      </c>
      <c r="B660" s="706">
        <v>2025</v>
      </c>
      <c r="C660" s="706" t="s">
        <v>2567</v>
      </c>
      <c r="D660" s="706" t="s">
        <v>2568</v>
      </c>
      <c r="E660" s="706" t="s">
        <v>333</v>
      </c>
      <c r="F660" s="706" t="s">
        <v>1149</v>
      </c>
      <c r="G660" s="706">
        <v>-185.43</v>
      </c>
      <c r="H660" s="706">
        <v>-266.63</v>
      </c>
      <c r="I660" s="706">
        <v>-266.63</v>
      </c>
      <c r="J660" s="706">
        <v>-266.63</v>
      </c>
      <c r="K660" s="706">
        <v>-266.63</v>
      </c>
      <c r="L660" s="706">
        <v>-266.63</v>
      </c>
      <c r="M660" s="706">
        <v>-266.63</v>
      </c>
      <c r="N660" s="706">
        <v>-266.63</v>
      </c>
      <c r="O660" s="706">
        <v>-266.63</v>
      </c>
      <c r="P660" s="706">
        <v>-266.63</v>
      </c>
      <c r="Q660" s="706">
        <v>-266.63</v>
      </c>
      <c r="R660" s="706">
        <v>-266.63</v>
      </c>
      <c r="S660" s="706">
        <v>-24.24</v>
      </c>
      <c r="T660" s="706">
        <v>-24.24</v>
      </c>
      <c r="U660" s="706">
        <v>0</v>
      </c>
      <c r="V660" s="706">
        <v>-1</v>
      </c>
      <c r="W660" s="706">
        <v>-1</v>
      </c>
      <c r="X660" s="706">
        <v>-1</v>
      </c>
      <c r="Y660" s="706">
        <v>-1</v>
      </c>
      <c r="Z660" s="706">
        <v>-1</v>
      </c>
      <c r="AA660" s="706">
        <v>-1</v>
      </c>
      <c r="AB660" s="706">
        <v>-1</v>
      </c>
      <c r="AC660" s="706">
        <v>-1</v>
      </c>
      <c r="AD660" s="706">
        <v>-1</v>
      </c>
      <c r="AE660" s="706">
        <v>-1</v>
      </c>
      <c r="AF660" s="706">
        <v>-1</v>
      </c>
      <c r="AG660" s="706">
        <v>-1</v>
      </c>
      <c r="AH660" s="706">
        <v>0</v>
      </c>
      <c r="AI660" s="706">
        <v>0</v>
      </c>
      <c r="AJ660" s="905" t="str">
        <f t="shared" si="66"/>
        <v>G50210</v>
      </c>
      <c r="AK660" s="905" t="str">
        <f t="shared" si="67"/>
        <v>REVENUS LOCATION SERVICE</v>
      </c>
      <c r="AL660" s="905">
        <f>IFERROR(INDEX(G660:R660,1,MATCH(Parametres!$B$3,G$1:R$1,0)-1)*IF(OR(F660="L",F660="S",F660="I"),-1,1),"")</f>
        <v>266.63</v>
      </c>
      <c r="AM660" s="905">
        <f t="shared" si="62"/>
        <v>0</v>
      </c>
      <c r="AN660" s="905">
        <f>INDEX(G660:R660,1,MATCH(Parametres!$B$3,G$1:R$1,0))*IF(OR(F660="L",F660="S",F660="I"),-1,1)</f>
        <v>266.63</v>
      </c>
      <c r="AO660" s="487" t="str">
        <f>+VLOOKUP($AJ660,Data_Validation!$A:$D,1,0)</f>
        <v>G50210</v>
      </c>
      <c r="AP660" s="487" t="str">
        <f>+VLOOKUP($AJ660,Data_Validation!$A:$D,3,0)</f>
        <v>Service</v>
      </c>
      <c r="AQ660" s="487" t="str">
        <f>+VLOOKUP($AJ660,Data_Validation!$A:$D,4,0)</f>
        <v>Frais véhicules de cie</v>
      </c>
      <c r="AR660" s="487" t="s">
        <v>299</v>
      </c>
      <c r="AS660" s="487">
        <f>+VLOOKUP($AJ660,Data_Validation!$A:$E,5,0)</f>
        <v>0</v>
      </c>
      <c r="AT660" s="904" t="str">
        <f t="shared" si="63"/>
        <v>G50210</v>
      </c>
      <c r="AU660" s="488" t="str">
        <f t="shared" si="64"/>
        <v>REVENUS LOCATION SERVICE</v>
      </c>
      <c r="AV660" s="899">
        <f>IFERROR(INDEX(V660:AG660,1,MATCH(Parametres!$B$3,V$1:AG$1,0)-1)*IF(OR(C660="L",C660="S",C660="I"),-1,1),"")</f>
        <v>-1</v>
      </c>
      <c r="AW660" s="899">
        <f t="shared" si="65"/>
        <v>0</v>
      </c>
      <c r="AX660" s="899">
        <f>INDEX(V660:AG660,1,MATCH(Parametres!$B$3,V$1:AG$1,0))*IF(OR(C660="L",C660="S",C660="I"),-1,1)</f>
        <v>-1</v>
      </c>
      <c r="AY660" s="487" t="s">
        <v>337</v>
      </c>
      <c r="AZ660" s="487">
        <f>+VLOOKUP($AJ660,Data_Validation!$A:$E,5,0)</f>
        <v>0</v>
      </c>
    </row>
    <row r="661" spans="1:52" ht="15" hidden="1" customHeight="1">
      <c r="A661" s="706" t="s">
        <v>1147</v>
      </c>
      <c r="B661" s="706">
        <v>2025</v>
      </c>
      <c r="C661" s="706" t="s">
        <v>2569</v>
      </c>
      <c r="D661" s="706" t="s">
        <v>2570</v>
      </c>
      <c r="E661" s="706" t="s">
        <v>333</v>
      </c>
      <c r="F661" s="706" t="s">
        <v>1149</v>
      </c>
      <c r="G661" s="706">
        <v>0</v>
      </c>
      <c r="H661" s="706">
        <v>0</v>
      </c>
      <c r="I661" s="706">
        <v>-2586.08</v>
      </c>
      <c r="J661" s="706">
        <v>-2586.08</v>
      </c>
      <c r="K661" s="706">
        <v>-2872.08</v>
      </c>
      <c r="L661" s="706">
        <v>-2872.08</v>
      </c>
      <c r="M661" s="706">
        <v>-5199.83</v>
      </c>
      <c r="N661" s="706">
        <v>-7363.73</v>
      </c>
      <c r="O661" s="706">
        <v>-7363.73</v>
      </c>
      <c r="P661" s="706">
        <v>-7447.73</v>
      </c>
      <c r="Q661" s="706">
        <v>-7447.73</v>
      </c>
      <c r="R661" s="706">
        <v>-7837.73</v>
      </c>
      <c r="S661" s="706">
        <v>-677.07</v>
      </c>
      <c r="T661" s="706">
        <v>-677.07</v>
      </c>
      <c r="U661" s="706">
        <v>0</v>
      </c>
      <c r="V661" s="706">
        <v>0</v>
      </c>
      <c r="W661" s="706">
        <v>0</v>
      </c>
      <c r="X661" s="706">
        <v>-4</v>
      </c>
      <c r="Y661" s="706">
        <v>-4</v>
      </c>
      <c r="Z661" s="706">
        <v>-5</v>
      </c>
      <c r="AA661" s="706">
        <v>-5</v>
      </c>
      <c r="AB661" s="706">
        <v>-9</v>
      </c>
      <c r="AC661" s="706">
        <v>-11</v>
      </c>
      <c r="AD661" s="706">
        <v>-11</v>
      </c>
      <c r="AE661" s="706">
        <v>-12</v>
      </c>
      <c r="AF661" s="706">
        <v>-12</v>
      </c>
      <c r="AG661" s="706">
        <v>-13</v>
      </c>
      <c r="AH661" s="706">
        <v>-1</v>
      </c>
      <c r="AI661" s="706">
        <v>-1</v>
      </c>
      <c r="AJ661" s="905" t="str">
        <f t="shared" si="66"/>
        <v>G50220</v>
      </c>
      <c r="AK661" s="905" t="str">
        <f t="shared" si="67"/>
        <v>REVENUS LOCATION BODY</v>
      </c>
      <c r="AL661" s="905">
        <f>IFERROR(INDEX(G661:R661,1,MATCH(Parametres!$B$3,G$1:R$1,0)-1)*IF(OR(F661="L",F661="S",F661="I"),-1,1),"")</f>
        <v>7447.73</v>
      </c>
      <c r="AM661" s="905">
        <f t="shared" si="62"/>
        <v>390</v>
      </c>
      <c r="AN661" s="905">
        <f>INDEX(G661:R661,1,MATCH(Parametres!$B$3,G$1:R$1,0))*IF(OR(F661="L",F661="S",F661="I"),-1,1)</f>
        <v>7837.73</v>
      </c>
      <c r="AO661" s="487" t="str">
        <f>+VLOOKUP($AJ661,Data_Validation!$A:$D,1,0)</f>
        <v>G50220</v>
      </c>
      <c r="AP661" s="487" t="str">
        <f>+VLOOKUP($AJ661,Data_Validation!$A:$D,3,0)</f>
        <v>Carrosserie</v>
      </c>
      <c r="AQ661" s="487" t="str">
        <f>+VLOOKUP($AJ661,Data_Validation!$A:$D,4,0)</f>
        <v>Frais véhicules de cie</v>
      </c>
      <c r="AR661" s="487" t="s">
        <v>299</v>
      </c>
      <c r="AS661" s="487">
        <f>+VLOOKUP($AJ661,Data_Validation!$A:$E,5,0)</f>
        <v>0</v>
      </c>
      <c r="AT661" s="904" t="str">
        <f t="shared" si="63"/>
        <v>G50220</v>
      </c>
      <c r="AU661" s="488" t="str">
        <f t="shared" si="64"/>
        <v>REVENUS LOCATION BODY</v>
      </c>
      <c r="AV661" s="899">
        <f>IFERROR(INDEX(V661:AG661,1,MATCH(Parametres!$B$3,V$1:AG$1,0)-1)*IF(OR(C661="L",C661="S",C661="I"),-1,1),"")</f>
        <v>-12</v>
      </c>
      <c r="AW661" s="899">
        <f t="shared" si="65"/>
        <v>-1</v>
      </c>
      <c r="AX661" s="899">
        <f>INDEX(V661:AG661,1,MATCH(Parametres!$B$3,V$1:AG$1,0))*IF(OR(C661="L",C661="S",C661="I"),-1,1)</f>
        <v>-13</v>
      </c>
      <c r="AY661" s="487" t="s">
        <v>337</v>
      </c>
      <c r="AZ661" s="487">
        <f>+VLOOKUP($AJ661,Data_Validation!$A:$E,5,0)</f>
        <v>0</v>
      </c>
    </row>
    <row r="662" spans="1:52" ht="15" customHeight="1">
      <c r="A662" s="706" t="s">
        <v>1147</v>
      </c>
      <c r="B662" s="706">
        <v>2025</v>
      </c>
      <c r="C662" s="706" t="s">
        <v>2571</v>
      </c>
      <c r="D662" s="706" t="s">
        <v>2572</v>
      </c>
      <c r="E662" s="706" t="s">
        <v>333</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G511</v>
      </c>
      <c r="AK662" s="905" t="str">
        <f t="shared" si="67"/>
        <v>PMNT PER. LOC.BAIL-SIMPLE</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G511</v>
      </c>
      <c r="AU662" s="488" t="str">
        <f t="shared" si="64"/>
        <v>PMNT PER. LOC.BAIL-SIMPLE</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1147</v>
      </c>
      <c r="B663" s="706">
        <v>2025</v>
      </c>
      <c r="C663" s="706" t="s">
        <v>2573</v>
      </c>
      <c r="D663" s="706" t="s">
        <v>2574</v>
      </c>
      <c r="E663" s="706" t="s">
        <v>333</v>
      </c>
      <c r="F663" s="706" t="s">
        <v>1149</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G512</v>
      </c>
      <c r="AK663" s="905" t="str">
        <f t="shared" si="67"/>
        <v>REVENU ENTRETIEN  -SIMPLE</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G512</v>
      </c>
      <c r="AU663" s="488" t="str">
        <f t="shared" si="64"/>
        <v>REVENU ENTRETIEN  -SIMPLE</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1147</v>
      </c>
      <c r="B664" s="706">
        <v>2025</v>
      </c>
      <c r="C664" s="706" t="s">
        <v>2575</v>
      </c>
      <c r="D664" s="706" t="s">
        <v>2576</v>
      </c>
      <c r="E664" s="706" t="s">
        <v>333</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G513</v>
      </c>
      <c r="AK664" s="905" t="str">
        <f t="shared" si="67"/>
        <v>REV.PARTIEL MOIS  -SIMPLE</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G513</v>
      </c>
      <c r="AU664" s="488" t="str">
        <f t="shared" si="64"/>
        <v>REV.PARTIEL MOIS  -SIMPLE</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1147</v>
      </c>
      <c r="B665" s="706">
        <v>2025</v>
      </c>
      <c r="C665" s="706" t="s">
        <v>2577</v>
      </c>
      <c r="D665" s="706" t="s">
        <v>2578</v>
      </c>
      <c r="E665" s="706" t="s">
        <v>333</v>
      </c>
      <c r="F665" s="706" t="s">
        <v>1149</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G514</v>
      </c>
      <c r="AK665" s="905" t="str">
        <f t="shared" si="67"/>
        <v>FRAIS PMNT TARDIF -SIMPLE</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G514</v>
      </c>
      <c r="AU665" s="488" t="str">
        <f t="shared" si="64"/>
        <v>FRAIS PMNT TARDIF -SIMPLE</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1147</v>
      </c>
      <c r="B666" s="706">
        <v>2025</v>
      </c>
      <c r="C666" s="706" t="s">
        <v>2579</v>
      </c>
      <c r="D666" s="706" t="s">
        <v>2580</v>
      </c>
      <c r="E666" s="706" t="s">
        <v>333</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G516</v>
      </c>
      <c r="AK666" s="905" t="str">
        <f t="shared" si="67"/>
        <v>FRAIS ADMINIST.   -SIMPLE</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G516</v>
      </c>
      <c r="AU666" s="488" t="str">
        <f t="shared" si="64"/>
        <v>FRAIS ADMINIST.   -SIMPLE</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1147</v>
      </c>
      <c r="B667" s="706">
        <v>2025</v>
      </c>
      <c r="C667" s="706" t="s">
        <v>2581</v>
      </c>
      <c r="D667" s="706" t="s">
        <v>2582</v>
      </c>
      <c r="E667" s="706" t="s">
        <v>333</v>
      </c>
      <c r="F667" s="706" t="s">
        <v>1149</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G517</v>
      </c>
      <c r="AK667" s="905" t="str">
        <f t="shared" si="67"/>
        <v>AUTRES REV.LOCAT. -SIMPLE</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G517</v>
      </c>
      <c r="AU667" s="488" t="str">
        <f t="shared" si="64"/>
        <v>AUTRES REV.LOCAT. -SIMPLE</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1147</v>
      </c>
      <c r="B668" s="706">
        <v>2025</v>
      </c>
      <c r="C668" s="706" t="s">
        <v>2583</v>
      </c>
      <c r="D668" s="706" t="s">
        <v>2584</v>
      </c>
      <c r="E668" s="706" t="s">
        <v>333</v>
      </c>
      <c r="F668" s="706" t="s">
        <v>1149</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G521</v>
      </c>
      <c r="AK668" s="905" t="str">
        <f t="shared" si="67"/>
        <v>PMNT PER. LOC.BAIL-ALEATO</v>
      </c>
      <c r="AL668" s="905">
        <f>IFERROR(INDEX(G668:R668,1,MATCH(Parametres!$B$3,G$1:R$1,0)-1)*IF(OR(F668="L",F668="S",F668="I"),-1,1),"")</f>
        <v>0</v>
      </c>
      <c r="AM668" s="905">
        <f t="shared" si="62"/>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t="str">
        <f t="shared" si="63"/>
        <v>G521</v>
      </c>
      <c r="AU668" s="488" t="str">
        <f t="shared" si="64"/>
        <v>PMNT PER. LOC.BAIL-ALEATO</v>
      </c>
      <c r="AV668" s="899">
        <f>IFERROR(INDEX(V668:AG668,1,MATCH(Parametres!$B$3,V$1:AG$1,0)-1)*IF(OR(C668="L",C668="S",C668="I"),-1,1),"")</f>
        <v>0</v>
      </c>
      <c r="AW668" s="899">
        <f t="shared" si="65"/>
        <v>0</v>
      </c>
      <c r="AX668" s="899">
        <f>INDEX(V668:AG668,1,MATCH(Parametres!$B$3,V$1:AG$1,0))*IF(OR(C668="L",C668="S",C668="I"),-1,1)</f>
        <v>0</v>
      </c>
      <c r="AY668" s="487" t="s">
        <v>337</v>
      </c>
      <c r="AZ668" s="487" t="e">
        <f>+VLOOKUP($AJ668,Data_Validation!$A:$E,5,0)</f>
        <v>#N/A</v>
      </c>
    </row>
    <row r="669" spans="1:52" ht="15" customHeight="1">
      <c r="A669" s="706" t="s">
        <v>1147</v>
      </c>
      <c r="B669" s="706">
        <v>2025</v>
      </c>
      <c r="C669" s="706" t="s">
        <v>2585</v>
      </c>
      <c r="D669" s="706" t="s">
        <v>2586</v>
      </c>
      <c r="E669" s="706" t="s">
        <v>333</v>
      </c>
      <c r="F669" s="706" t="s">
        <v>1149</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G522</v>
      </c>
      <c r="AK669" s="905" t="str">
        <f t="shared" si="67"/>
        <v>REVENU ENTRETIEN  -ALEATO</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G522</v>
      </c>
      <c r="AU669" s="488" t="str">
        <f t="shared" si="64"/>
        <v>REVENU ENTRETIEN  -ALEATO</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1147</v>
      </c>
      <c r="B670" s="706">
        <v>2025</v>
      </c>
      <c r="C670" s="706" t="s">
        <v>2587</v>
      </c>
      <c r="D670" s="706" t="s">
        <v>2588</v>
      </c>
      <c r="E670" s="706" t="s">
        <v>333</v>
      </c>
      <c r="F670" s="706" t="s">
        <v>1149</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G523</v>
      </c>
      <c r="AK670" s="905" t="str">
        <f t="shared" si="67"/>
        <v>REV.PARTIEL MOIS  -ALEATO</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G523</v>
      </c>
      <c r="AU670" s="488" t="str">
        <f t="shared" si="64"/>
        <v>REV.PARTIEL MOIS  -ALEATO</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1147</v>
      </c>
      <c r="B671" s="706">
        <v>2025</v>
      </c>
      <c r="C671" s="706" t="s">
        <v>2589</v>
      </c>
      <c r="D671" s="706" t="s">
        <v>2590</v>
      </c>
      <c r="E671" s="706" t="s">
        <v>333</v>
      </c>
      <c r="F671" s="706" t="s">
        <v>1149</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G524</v>
      </c>
      <c r="AK671" s="905" t="str">
        <f t="shared" si="67"/>
        <v>FRAIS PMNT TARDIF -ALEATO</v>
      </c>
      <c r="AL671" s="905">
        <f>IFERROR(INDEX(G671:R671,1,MATCH(Parametres!$B$3,G$1:R$1,0)-1)*IF(OR(F671="L",F671="S",F671="I"),-1,1),"")</f>
        <v>0</v>
      </c>
      <c r="AM671" s="905">
        <f t="shared" si="62"/>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t="str">
        <f t="shared" si="63"/>
        <v>G524</v>
      </c>
      <c r="AU671" s="488" t="str">
        <f t="shared" si="64"/>
        <v>FRAIS PMNT TARDIF -ALEATO</v>
      </c>
      <c r="AV671" s="899">
        <f>IFERROR(INDEX(V671:AG671,1,MATCH(Parametres!$B$3,V$1:AG$1,0)-1)*IF(OR(C671="L",C671="S",C671="I"),-1,1),"")</f>
        <v>0</v>
      </c>
      <c r="AW671" s="899">
        <f t="shared" si="65"/>
        <v>0</v>
      </c>
      <c r="AX671" s="899">
        <f>INDEX(V671:AG671,1,MATCH(Parametres!$B$3,V$1:AG$1,0))*IF(OR(C671="L",C671="S",C671="I"),-1,1)</f>
        <v>0</v>
      </c>
      <c r="AY671" s="487" t="s">
        <v>337</v>
      </c>
      <c r="AZ671" s="487" t="e">
        <f>+VLOOKUP($AJ671,Data_Validation!$A:$E,5,0)</f>
        <v>#N/A</v>
      </c>
    </row>
    <row r="672" spans="1:52" ht="15" customHeight="1">
      <c r="A672" s="706" t="s">
        <v>1147</v>
      </c>
      <c r="B672" s="706">
        <v>2025</v>
      </c>
      <c r="C672" s="706" t="s">
        <v>2591</v>
      </c>
      <c r="D672" s="706" t="s">
        <v>2592</v>
      </c>
      <c r="E672" s="706" t="s">
        <v>333</v>
      </c>
      <c r="F672" s="706" t="s">
        <v>1149</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G526</v>
      </c>
      <c r="AK672" s="905" t="str">
        <f t="shared" si="67"/>
        <v>FRAIS ADMINIST.   -ALEATO</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G526</v>
      </c>
      <c r="AU672" s="488" t="str">
        <f t="shared" si="64"/>
        <v>FRAIS ADMINIST.   -ALEATO</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1147</v>
      </c>
      <c r="B673" s="706">
        <v>2025</v>
      </c>
      <c r="C673" s="706" t="s">
        <v>2593</v>
      </c>
      <c r="D673" s="706" t="s">
        <v>2594</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G527</v>
      </c>
      <c r="AK673" s="905" t="str">
        <f t="shared" si="67"/>
        <v>AUTRES REV.LOCAT. -ALEATO</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G527</v>
      </c>
      <c r="AU673" s="488" t="str">
        <f t="shared" si="64"/>
        <v>AUTRES REV.LOCAT. -ALEATO</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1147</v>
      </c>
      <c r="B674" s="706">
        <v>2025</v>
      </c>
      <c r="C674" s="706" t="s">
        <v>2595</v>
      </c>
      <c r="D674" s="706" t="s">
        <v>2596</v>
      </c>
      <c r="E674" s="706" t="s">
        <v>333</v>
      </c>
      <c r="F674" s="706" t="s">
        <v>1149</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G53000</v>
      </c>
      <c r="AK674" s="905" t="str">
        <f t="shared" si="67"/>
        <v>PRIX VTE VEHICULES CEDES</v>
      </c>
      <c r="AL674" s="905">
        <f>IFERROR(INDEX(G674:R674,1,MATCH(Parametres!$B$3,G$1:R$1,0)-1)*IF(OR(F674="L",F674="S",F674="I"),-1,1),"")</f>
        <v>0</v>
      </c>
      <c r="AM674" s="905">
        <f t="shared" si="62"/>
        <v>0</v>
      </c>
      <c r="AN674" s="905">
        <f>INDEX(G674:R674,1,MATCH(Parametres!$B$3,G$1:R$1,0))*IF(OR(F674="L",F674="S",F674="I"),-1,1)</f>
        <v>0</v>
      </c>
      <c r="AO674" s="487" t="str">
        <f>+VLOOKUP($AJ674,Data_Validation!$A:$D,1,0)</f>
        <v>G53000</v>
      </c>
      <c r="AP674" s="487">
        <f>+VLOOKUP($AJ674,Data_Validation!$A:$D,3,0)</f>
        <v>0</v>
      </c>
      <c r="AQ674" s="487">
        <f>+VLOOKUP($AJ674,Data_Validation!$A:$D,4,0)</f>
        <v>0</v>
      </c>
      <c r="AR674" s="487" t="s">
        <v>299</v>
      </c>
      <c r="AS674" s="487">
        <f>+VLOOKUP($AJ674,Data_Validation!$A:$E,5,0)</f>
        <v>0</v>
      </c>
      <c r="AT674" s="904" t="str">
        <f t="shared" si="63"/>
        <v>G53000</v>
      </c>
      <c r="AU674" s="488" t="str">
        <f t="shared" si="64"/>
        <v>PRIX VTE VEHICULES CEDES</v>
      </c>
      <c r="AV674" s="899">
        <f>IFERROR(INDEX(V674:AG674,1,MATCH(Parametres!$B$3,V$1:AG$1,0)-1)*IF(OR(C674="L",C674="S",C674="I"),-1,1),"")</f>
        <v>0</v>
      </c>
      <c r="AW674" s="899">
        <f t="shared" si="65"/>
        <v>0</v>
      </c>
      <c r="AX674" s="899">
        <f>INDEX(V674:AG674,1,MATCH(Parametres!$B$3,V$1:AG$1,0))*IF(OR(C674="L",C674="S",C674="I"),-1,1)</f>
        <v>0</v>
      </c>
      <c r="AY674" s="487" t="s">
        <v>337</v>
      </c>
      <c r="AZ674" s="487">
        <f>+VLOOKUP($AJ674,Data_Validation!$A:$E,5,0)</f>
        <v>0</v>
      </c>
    </row>
    <row r="675" spans="1:52" ht="15" customHeight="1">
      <c r="A675" s="706" t="s">
        <v>1147</v>
      </c>
      <c r="B675" s="706">
        <v>2025</v>
      </c>
      <c r="C675" s="706" t="s">
        <v>2597</v>
      </c>
      <c r="D675" s="706" t="s">
        <v>2598</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G534</v>
      </c>
      <c r="AK675" s="905" t="str">
        <f t="shared" si="67"/>
        <v>FRAIS PMNT TARDIF    -C/T</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G534</v>
      </c>
      <c r="AU675" s="488" t="str">
        <f t="shared" si="64"/>
        <v>FRAIS PMNT TARDIF    -C/T</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1147</v>
      </c>
      <c r="B676" s="706">
        <v>2025</v>
      </c>
      <c r="C676" s="706" t="s">
        <v>2599</v>
      </c>
      <c r="D676" s="706" t="s">
        <v>2600</v>
      </c>
      <c r="E676" s="706" t="s">
        <v>333</v>
      </c>
      <c r="F676" s="706" t="s">
        <v>1149</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G535</v>
      </c>
      <c r="AK676" s="905" t="str">
        <f t="shared" si="67"/>
        <v>REV.LOCATION C/T     -C/T</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G535</v>
      </c>
      <c r="AU676" s="488" t="str">
        <f t="shared" si="64"/>
        <v>REV.LOCATION C/T     -C/T</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1147</v>
      </c>
      <c r="B677" s="706">
        <v>2025</v>
      </c>
      <c r="C677" s="706" t="s">
        <v>2601</v>
      </c>
      <c r="D677" s="706" t="s">
        <v>2602</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G53500</v>
      </c>
      <c r="AK677" s="905" t="str">
        <f t="shared" si="67"/>
        <v>REVENUS LOCATION C/TERME</v>
      </c>
      <c r="AL677" s="905">
        <f>IFERROR(INDEX(G677:R677,1,MATCH(Parametres!$B$3,G$1:R$1,0)-1)*IF(OR(F677="L",F677="S",F677="I"),-1,1),"")</f>
        <v>0</v>
      </c>
      <c r="AM677" s="905">
        <f t="shared" si="62"/>
        <v>0</v>
      </c>
      <c r="AN677" s="905">
        <f>INDEX(G677:R677,1,MATCH(Parametres!$B$3,G$1:R$1,0))*IF(OR(F677="L",F677="S",F677="I"),-1,1)</f>
        <v>0</v>
      </c>
      <c r="AO677" s="487" t="str">
        <f>+VLOOKUP($AJ677,Data_Validation!$A:$D,1,0)</f>
        <v>G53500</v>
      </c>
      <c r="AP677" s="487">
        <f>+VLOOKUP($AJ677,Data_Validation!$A:$D,3,0)</f>
        <v>0</v>
      </c>
      <c r="AQ677" s="487">
        <f>+VLOOKUP($AJ677,Data_Validation!$A:$D,4,0)</f>
        <v>0</v>
      </c>
      <c r="AR677" s="487" t="s">
        <v>299</v>
      </c>
      <c r="AS677" s="487">
        <f>+VLOOKUP($AJ677,Data_Validation!$A:$E,5,0)</f>
        <v>0</v>
      </c>
      <c r="AT677" s="904" t="str">
        <f t="shared" si="63"/>
        <v>G53500</v>
      </c>
      <c r="AU677" s="488" t="str">
        <f t="shared" si="64"/>
        <v>REVENUS LOCATION C/TERME</v>
      </c>
      <c r="AV677" s="899">
        <f>IFERROR(INDEX(V677:AG677,1,MATCH(Parametres!$B$3,V$1:AG$1,0)-1)*IF(OR(C677="L",C677="S",C677="I"),-1,1),"")</f>
        <v>0</v>
      </c>
      <c r="AW677" s="899">
        <f t="shared" si="65"/>
        <v>0</v>
      </c>
      <c r="AX677" s="899">
        <f>INDEX(V677:AG677,1,MATCH(Parametres!$B$3,V$1:AG$1,0))*IF(OR(C677="L",C677="S",C677="I"),-1,1)</f>
        <v>0</v>
      </c>
      <c r="AY677" s="487" t="s">
        <v>337</v>
      </c>
      <c r="AZ677" s="487">
        <f>+VLOOKUP($AJ677,Data_Validation!$A:$E,5,0)</f>
        <v>0</v>
      </c>
    </row>
    <row r="678" spans="1:52" ht="15" customHeight="1">
      <c r="A678" s="706" t="s">
        <v>1147</v>
      </c>
      <c r="B678" s="706">
        <v>2025</v>
      </c>
      <c r="C678" s="706" t="s">
        <v>2603</v>
      </c>
      <c r="D678" s="706" t="s">
        <v>2604</v>
      </c>
      <c r="E678" s="706" t="s">
        <v>333</v>
      </c>
      <c r="F678" s="706" t="s">
        <v>1149</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G536</v>
      </c>
      <c r="AK678" s="905" t="str">
        <f t="shared" si="67"/>
        <v>FRAIS ADMINIST.      -C/T</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G536</v>
      </c>
      <c r="AU678" s="488" t="str">
        <f t="shared" si="64"/>
        <v>FRAIS ADMINIST.      -C/T</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1147</v>
      </c>
      <c r="B679" s="706">
        <v>2025</v>
      </c>
      <c r="C679" s="706" t="s">
        <v>2605</v>
      </c>
      <c r="D679" s="706" t="s">
        <v>2606</v>
      </c>
      <c r="E679" s="706" t="s">
        <v>333</v>
      </c>
      <c r="F679" s="706" t="s">
        <v>1148</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G541</v>
      </c>
      <c r="AK679" s="905" t="str">
        <f t="shared" si="67"/>
        <v>COMM.ENCAISSE/ASS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G541</v>
      </c>
      <c r="AU679" s="488" t="str">
        <f t="shared" si="64"/>
        <v>COMM.ENCAISSE/ASS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1147</v>
      </c>
      <c r="B680" s="706">
        <v>2025</v>
      </c>
      <c r="C680" s="706" t="s">
        <v>2607</v>
      </c>
      <c r="D680" s="706" t="s">
        <v>2608</v>
      </c>
      <c r="E680" s="706" t="s">
        <v>333</v>
      </c>
      <c r="F680" s="706" t="s">
        <v>1151</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G541C</v>
      </c>
      <c r="AK680" s="905" t="str">
        <f t="shared" si="67"/>
        <v>*COMM.ENCAISSE/ASS.LOC</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G541C</v>
      </c>
      <c r="AU680" s="488" t="str">
        <f t="shared" si="64"/>
        <v>*COMM.ENCAISSE/ASS.LOC</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customHeight="1">
      <c r="A681" s="706" t="s">
        <v>1147</v>
      </c>
      <c r="B681" s="706">
        <v>2025</v>
      </c>
      <c r="C681" s="706" t="s">
        <v>2609</v>
      </c>
      <c r="D681" s="706" t="s">
        <v>2610</v>
      </c>
      <c r="E681" s="706" t="s">
        <v>333</v>
      </c>
      <c r="F681" s="706" t="s">
        <v>1148</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G542</v>
      </c>
      <c r="AK681" s="905" t="str">
        <f t="shared" si="67"/>
        <v>ACCESSOIRES LOC C&amp;L TERME</v>
      </c>
      <c r="AL681" s="905">
        <f>IFERROR(INDEX(G681:R681,1,MATCH(Parametres!$B$3,G$1:R$1,0)-1)*IF(OR(F681="L",F681="S",F681="I"),-1,1),"")</f>
        <v>0</v>
      </c>
      <c r="AM681" s="905">
        <f t="shared" si="62"/>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t="str">
        <f t="shared" si="63"/>
        <v>G542</v>
      </c>
      <c r="AU681" s="488" t="str">
        <f t="shared" si="64"/>
        <v>ACCESSOIRES LOC C&amp;L TERME</v>
      </c>
      <c r="AV681" s="899">
        <f>IFERROR(INDEX(V681:AG681,1,MATCH(Parametres!$B$3,V$1:AG$1,0)-1)*IF(OR(C681="L",C681="S",C681="I"),-1,1),"")</f>
        <v>0</v>
      </c>
      <c r="AW681" s="899">
        <f t="shared" si="65"/>
        <v>0</v>
      </c>
      <c r="AX681" s="899">
        <f>INDEX(V681:AG681,1,MATCH(Parametres!$B$3,V$1:AG$1,0))*IF(OR(C681="L",C681="S",C681="I"),-1,1)</f>
        <v>0</v>
      </c>
      <c r="AY681" s="487" t="s">
        <v>337</v>
      </c>
      <c r="AZ681" s="487" t="e">
        <f>+VLOOKUP($AJ681,Data_Validation!$A:$E,5,0)</f>
        <v>#N/A</v>
      </c>
    </row>
    <row r="682" spans="1:52" ht="15" customHeight="1">
      <c r="A682" s="706" t="s">
        <v>1147</v>
      </c>
      <c r="B682" s="706">
        <v>2025</v>
      </c>
      <c r="C682" s="706" t="s">
        <v>2611</v>
      </c>
      <c r="D682" s="706" t="s">
        <v>2610</v>
      </c>
      <c r="E682" s="706" t="s">
        <v>333</v>
      </c>
      <c r="F682" s="706" t="s">
        <v>1151</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G542C</v>
      </c>
      <c r="AK682" s="905" t="str">
        <f t="shared" si="67"/>
        <v>ACCESSOIRES LOC C&amp;L TERME</v>
      </c>
      <c r="AL682" s="905">
        <f>IFERROR(INDEX(G682:R682,1,MATCH(Parametres!$B$3,G$1:R$1,0)-1)*IF(OR(F682="L",F682="S",F682="I"),-1,1),"")</f>
        <v>0</v>
      </c>
      <c r="AM682" s="905">
        <f t="shared" si="62"/>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t="str">
        <f t="shared" si="63"/>
        <v>G542C</v>
      </c>
      <c r="AU682" s="488" t="str">
        <f t="shared" si="64"/>
        <v>ACCESSOIRES LOC C&amp;L TERME</v>
      </c>
      <c r="AV682" s="899">
        <f>IFERROR(INDEX(V682:AG682,1,MATCH(Parametres!$B$3,V$1:AG$1,0)-1)*IF(OR(C682="L",C682="S",C682="I"),-1,1),"")</f>
        <v>0</v>
      </c>
      <c r="AW682" s="899">
        <f t="shared" si="65"/>
        <v>0</v>
      </c>
      <c r="AX682" s="899">
        <f>INDEX(V682:AG682,1,MATCH(Parametres!$B$3,V$1:AG$1,0))*IF(OR(C682="L",C682="S",C682="I"),-1,1)</f>
        <v>0</v>
      </c>
      <c r="AY682" s="487" t="s">
        <v>337</v>
      </c>
      <c r="AZ682" s="487" t="e">
        <f>+VLOOKUP($AJ682,Data_Validation!$A:$E,5,0)</f>
        <v>#N/A</v>
      </c>
    </row>
    <row r="683" spans="1:52" ht="15" customHeight="1">
      <c r="A683" s="706" t="s">
        <v>1147</v>
      </c>
      <c r="B683" s="706">
        <v>2025</v>
      </c>
      <c r="C683" s="706" t="s">
        <v>2612</v>
      </c>
      <c r="D683" s="706" t="s">
        <v>2613</v>
      </c>
      <c r="E683" s="706" t="s">
        <v>333</v>
      </c>
      <c r="F683" s="706" t="s">
        <v>1148</v>
      </c>
      <c r="G683" s="706">
        <v>0</v>
      </c>
      <c r="H683" s="706">
        <v>0</v>
      </c>
      <c r="I683" s="706">
        <v>0</v>
      </c>
      <c r="J683" s="706">
        <v>0</v>
      </c>
      <c r="K683" s="706">
        <v>0</v>
      </c>
      <c r="L683" s="706">
        <v>0</v>
      </c>
      <c r="M683" s="706">
        <v>0</v>
      </c>
      <c r="N683" s="706">
        <v>0</v>
      </c>
      <c r="O683" s="706">
        <v>0</v>
      </c>
      <c r="P683" s="706">
        <v>0</v>
      </c>
      <c r="Q683" s="706">
        <v>0</v>
      </c>
      <c r="R683" s="706">
        <v>0</v>
      </c>
      <c r="S683" s="706">
        <v>0</v>
      </c>
      <c r="T683" s="706">
        <v>0</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G543</v>
      </c>
      <c r="AK683" s="905" t="str">
        <f t="shared" si="67"/>
        <v>PLAN PROT.GM LOC C&amp;L TERM</v>
      </c>
      <c r="AL683" s="905">
        <f>IFERROR(INDEX(G683:R683,1,MATCH(Parametres!$B$3,G$1:R$1,0)-1)*IF(OR(F683="L",F683="S",F683="I"),-1,1),"")</f>
        <v>0</v>
      </c>
      <c r="AM683" s="905">
        <f t="shared" si="62"/>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t="str">
        <f t="shared" si="63"/>
        <v>G543</v>
      </c>
      <c r="AU683" s="488" t="str">
        <f t="shared" si="64"/>
        <v>PLAN PROT.GM LOC C&amp;L TERM</v>
      </c>
      <c r="AV683" s="899">
        <f>IFERROR(INDEX(V683:AG683,1,MATCH(Parametres!$B$3,V$1:AG$1,0)-1)*IF(OR(C683="L",C683="S",C683="I"),-1,1),"")</f>
        <v>0</v>
      </c>
      <c r="AW683" s="899">
        <f t="shared" si="65"/>
        <v>0</v>
      </c>
      <c r="AX683" s="899">
        <f>INDEX(V683:AG683,1,MATCH(Parametres!$B$3,V$1:AG$1,0))*IF(OR(C683="L",C683="S",C683="I"),-1,1)</f>
        <v>0</v>
      </c>
      <c r="AY683" s="487" t="s">
        <v>337</v>
      </c>
      <c r="AZ683" s="487" t="e">
        <f>+VLOOKUP($AJ683,Data_Validation!$A:$E,5,0)</f>
        <v>#N/A</v>
      </c>
    </row>
    <row r="684" spans="1:52" ht="15" customHeight="1">
      <c r="A684" s="706" t="s">
        <v>1147</v>
      </c>
      <c r="B684" s="706">
        <v>2025</v>
      </c>
      <c r="C684" s="706" t="s">
        <v>2614</v>
      </c>
      <c r="D684" s="706" t="s">
        <v>2613</v>
      </c>
      <c r="E684" s="706" t="s">
        <v>333</v>
      </c>
      <c r="F684" s="706" t="s">
        <v>1151</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G543C</v>
      </c>
      <c r="AK684" s="905" t="str">
        <f t="shared" si="67"/>
        <v>PLAN PROT.GM LOC C&amp;L TERM</v>
      </c>
      <c r="AL684" s="905">
        <f>IFERROR(INDEX(G684:R684,1,MATCH(Parametres!$B$3,G$1:R$1,0)-1)*IF(OR(F684="L",F684="S",F684="I"),-1,1),"")</f>
        <v>0</v>
      </c>
      <c r="AM684" s="905">
        <f t="shared" si="62"/>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t="str">
        <f t="shared" si="63"/>
        <v>G543C</v>
      </c>
      <c r="AU684" s="488" t="str">
        <f t="shared" si="64"/>
        <v>PLAN PROT.GM LOC C&amp;L TERM</v>
      </c>
      <c r="AV684" s="899">
        <f>IFERROR(INDEX(V684:AG684,1,MATCH(Parametres!$B$3,V$1:AG$1,0)-1)*IF(OR(C684="L",C684="S",C684="I"),-1,1),"")</f>
        <v>0</v>
      </c>
      <c r="AW684" s="899">
        <f t="shared" si="65"/>
        <v>0</v>
      </c>
      <c r="AX684" s="899">
        <f>INDEX(V684:AG684,1,MATCH(Parametres!$B$3,V$1:AG$1,0))*IF(OR(C684="L",C684="S",C684="I"),-1,1)</f>
        <v>0</v>
      </c>
      <c r="AY684" s="487" t="s">
        <v>337</v>
      </c>
      <c r="AZ684" s="487" t="e">
        <f>+VLOOKUP($AJ684,Data_Validation!$A:$E,5,0)</f>
        <v>#N/A</v>
      </c>
    </row>
    <row r="685" spans="1:52" ht="15" customHeight="1">
      <c r="A685" s="706" t="s">
        <v>1147</v>
      </c>
      <c r="B685" s="706">
        <v>2025</v>
      </c>
      <c r="C685" s="706" t="s">
        <v>2615</v>
      </c>
      <c r="D685" s="706" t="s">
        <v>2616</v>
      </c>
      <c r="E685" s="706" t="s">
        <v>333</v>
      </c>
      <c r="F685" s="706" t="s">
        <v>1148</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G544</v>
      </c>
      <c r="AK685" s="905" t="str">
        <f t="shared" si="67"/>
        <v>AUTRES PLAN PROT. LOC C&amp;L</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G544</v>
      </c>
      <c r="AU685" s="488" t="str">
        <f t="shared" si="64"/>
        <v>AUTRES PLAN PROT. LOC C&amp;L</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1147</v>
      </c>
      <c r="B686" s="706">
        <v>2025</v>
      </c>
      <c r="C686" s="706" t="s">
        <v>2617</v>
      </c>
      <c r="D686" s="706" t="s">
        <v>2618</v>
      </c>
      <c r="E686" s="706" t="s">
        <v>333</v>
      </c>
      <c r="F686" s="706" t="s">
        <v>1151</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G544C</v>
      </c>
      <c r="AK686" s="905" t="str">
        <f t="shared" si="67"/>
        <v>AUTRES PLAN PROT.LOC C&amp;L</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G544C</v>
      </c>
      <c r="AU686" s="488" t="str">
        <f t="shared" si="64"/>
        <v>AUTRES PLAN PROT.LOC C&amp;L</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hidden="1" customHeight="1">
      <c r="A687" s="706" t="s">
        <v>1147</v>
      </c>
      <c r="B687" s="706">
        <v>2025</v>
      </c>
      <c r="C687" s="706" t="s">
        <v>2619</v>
      </c>
      <c r="D687" s="706" t="s">
        <v>2620</v>
      </c>
      <c r="E687" s="706" t="s">
        <v>1142</v>
      </c>
      <c r="F687" s="706" t="s">
        <v>1151</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G60000</v>
      </c>
      <c r="AK687" s="905" t="str">
        <f t="shared" si="67"/>
        <v>COUT- VOLT</v>
      </c>
      <c r="AL687" s="905">
        <f>IFERROR(INDEX(G687:R687,1,MATCH(Parametres!$B$3,G$1:R$1,0)-1)*IF(OR(F687="L",F687="S",F687="I"),-1,1),"")</f>
        <v>0</v>
      </c>
      <c r="AM687" s="905">
        <f t="shared" si="62"/>
        <v>0</v>
      </c>
      <c r="AN687" s="905">
        <f>INDEX(G687:R687,1,MATCH(Parametres!$B$3,G$1:R$1,0))*IF(OR(F687="L",F687="S",F687="I"),-1,1)</f>
        <v>0</v>
      </c>
      <c r="AO687" s="487" t="str">
        <f>+VLOOKUP($AJ687,Data_Validation!$A:$D,1,0)</f>
        <v>G60000</v>
      </c>
      <c r="AP687" s="487" t="str">
        <f>+VLOOKUP($AJ687,Data_Validation!$A:$D,3,0)</f>
        <v>Véhicules neufs</v>
      </c>
      <c r="AQ687" s="487" t="str">
        <f>+VLOOKUP($AJ687,Data_Validation!$A:$D,4,0)</f>
        <v>Autos détail</v>
      </c>
      <c r="AR687" s="487" t="s">
        <v>299</v>
      </c>
      <c r="AS687" s="487">
        <f>+VLOOKUP($AJ687,Data_Validation!$A:$E,5,0)</f>
        <v>0</v>
      </c>
      <c r="AT687" s="904" t="str">
        <f t="shared" si="63"/>
        <v>G60000</v>
      </c>
      <c r="AU687" s="488" t="str">
        <f t="shared" si="64"/>
        <v>COUT- VOLT</v>
      </c>
      <c r="AV687" s="899">
        <f>IFERROR(INDEX(V687:AG687,1,MATCH(Parametres!$B$3,V$1:AG$1,0)-1)*IF(OR(C687="L",C687="S",C687="I"),-1,1),"")</f>
        <v>0</v>
      </c>
      <c r="AW687" s="899">
        <f t="shared" si="65"/>
        <v>0</v>
      </c>
      <c r="AX687" s="899">
        <f>INDEX(V687:AG687,1,MATCH(Parametres!$B$3,V$1:AG$1,0))*IF(OR(C687="L",C687="S",C687="I"),-1,1)</f>
        <v>0</v>
      </c>
      <c r="AY687" s="487" t="s">
        <v>337</v>
      </c>
      <c r="AZ687" s="487">
        <f>+VLOOKUP($AJ687,Data_Validation!$A:$E,5,0)</f>
        <v>0</v>
      </c>
    </row>
    <row r="688" spans="1:52" ht="15" hidden="1" customHeight="1">
      <c r="A688" s="706" t="s">
        <v>1147</v>
      </c>
      <c r="B688" s="706">
        <v>2025</v>
      </c>
      <c r="C688" s="706" t="s">
        <v>2621</v>
      </c>
      <c r="D688" s="706" t="s">
        <v>2622</v>
      </c>
      <c r="E688" s="706" t="s">
        <v>1142</v>
      </c>
      <c r="F688" s="706" t="s">
        <v>1151</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G60004</v>
      </c>
      <c r="AK688" s="905" t="str">
        <f t="shared" si="67"/>
        <v>COUTANT BUICK REGAL</v>
      </c>
      <c r="AL688" s="905">
        <f>IFERROR(INDEX(G688:R688,1,MATCH(Parametres!$B$3,G$1:R$1,0)-1)*IF(OR(F688="L",F688="S",F688="I"),-1,1),"")</f>
        <v>0</v>
      </c>
      <c r="AM688" s="905">
        <f t="shared" si="62"/>
        <v>0</v>
      </c>
      <c r="AN688" s="905">
        <f>INDEX(G688:R688,1,MATCH(Parametres!$B$3,G$1:R$1,0))*IF(OR(F688="L",F688="S",F688="I"),-1,1)</f>
        <v>0</v>
      </c>
      <c r="AO688" s="487" t="str">
        <f>+VLOOKUP($AJ688,Data_Validation!$A:$D,1,0)</f>
        <v>G60004</v>
      </c>
      <c r="AP688" s="487" t="str">
        <f>+VLOOKUP($AJ688,Data_Validation!$A:$D,3,0)</f>
        <v>Véhicules neufs</v>
      </c>
      <c r="AQ688" s="487" t="str">
        <f>+VLOOKUP($AJ688,Data_Validation!$A:$D,4,0)</f>
        <v>Autos détail</v>
      </c>
      <c r="AR688" s="487" t="s">
        <v>299</v>
      </c>
      <c r="AS688" s="487">
        <f>+VLOOKUP($AJ688,Data_Validation!$A:$E,5,0)</f>
        <v>0</v>
      </c>
      <c r="AT688" s="904" t="str">
        <f t="shared" si="63"/>
        <v>G60004</v>
      </c>
      <c r="AU688" s="488" t="str">
        <f t="shared" si="64"/>
        <v>COUTANT BUICK REGAL</v>
      </c>
      <c r="AV688" s="899">
        <f>IFERROR(INDEX(V688:AG688,1,MATCH(Parametres!$B$3,V$1:AG$1,0)-1)*IF(OR(C688="L",C688="S",C688="I"),-1,1),"")</f>
        <v>0</v>
      </c>
      <c r="AW688" s="899">
        <f t="shared" si="65"/>
        <v>0</v>
      </c>
      <c r="AX688" s="899">
        <f>INDEX(V688:AG688,1,MATCH(Parametres!$B$3,V$1:AG$1,0))*IF(OR(C688="L",C688="S",C688="I"),-1,1)</f>
        <v>0</v>
      </c>
      <c r="AY688" s="487" t="s">
        <v>337</v>
      </c>
      <c r="AZ688" s="487">
        <f>+VLOOKUP($AJ688,Data_Validation!$A:$E,5,0)</f>
        <v>0</v>
      </c>
    </row>
    <row r="689" spans="1:52" ht="15" hidden="1" customHeight="1">
      <c r="A689" s="706" t="s">
        <v>1147</v>
      </c>
      <c r="B689" s="706">
        <v>2025</v>
      </c>
      <c r="C689" s="706" t="s">
        <v>2623</v>
      </c>
      <c r="D689" s="706" t="s">
        <v>2624</v>
      </c>
      <c r="E689" s="706" t="s">
        <v>1142</v>
      </c>
      <c r="F689" s="706" t="s">
        <v>1151</v>
      </c>
      <c r="G689" s="706">
        <v>0</v>
      </c>
      <c r="H689" s="706">
        <v>0</v>
      </c>
      <c r="I689" s="706">
        <v>0</v>
      </c>
      <c r="J689" s="706">
        <v>0</v>
      </c>
      <c r="K689" s="706">
        <v>35093</v>
      </c>
      <c r="L689" s="706">
        <v>35093</v>
      </c>
      <c r="M689" s="706">
        <v>35093</v>
      </c>
      <c r="N689" s="706">
        <v>35093</v>
      </c>
      <c r="O689" s="706">
        <v>35093</v>
      </c>
      <c r="P689" s="706">
        <v>35093</v>
      </c>
      <c r="Q689" s="706">
        <v>35093</v>
      </c>
      <c r="R689" s="706">
        <v>35093</v>
      </c>
      <c r="S689" s="706">
        <v>3190.27</v>
      </c>
      <c r="T689" s="706">
        <v>3190.27</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G60100</v>
      </c>
      <c r="AK689" s="905" t="str">
        <f t="shared" si="67"/>
        <v>COUTANT MALIBU</v>
      </c>
      <c r="AL689" s="905">
        <f>IFERROR(INDEX(G689:R689,1,MATCH(Parametres!$B$3,G$1:R$1,0)-1)*IF(OR(F689="L",F689="S",F689="I"),-1,1),"")</f>
        <v>35093</v>
      </c>
      <c r="AM689" s="905">
        <f t="shared" si="62"/>
        <v>0</v>
      </c>
      <c r="AN689" s="905">
        <f>INDEX(G689:R689,1,MATCH(Parametres!$B$3,G$1:R$1,0))*IF(OR(F689="L",F689="S",F689="I"),-1,1)</f>
        <v>35093</v>
      </c>
      <c r="AO689" s="487" t="str">
        <f>+VLOOKUP($AJ689,Data_Validation!$A:$D,1,0)</f>
        <v>G60100</v>
      </c>
      <c r="AP689" s="487" t="str">
        <f>+VLOOKUP($AJ689,Data_Validation!$A:$D,3,0)</f>
        <v>Véhicules neufs</v>
      </c>
      <c r="AQ689" s="487" t="str">
        <f>+VLOOKUP($AJ689,Data_Validation!$A:$D,4,0)</f>
        <v>Autos détail</v>
      </c>
      <c r="AR689" s="487" t="s">
        <v>299</v>
      </c>
      <c r="AS689" s="487">
        <f>+VLOOKUP($AJ689,Data_Validation!$A:$E,5,0)</f>
        <v>0</v>
      </c>
      <c r="AT689" s="904" t="str">
        <f t="shared" si="63"/>
        <v>G60100</v>
      </c>
      <c r="AU689" s="488" t="str">
        <f t="shared" si="64"/>
        <v>COUTANT MALIBU</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1147</v>
      </c>
      <c r="B690" s="706">
        <v>2025</v>
      </c>
      <c r="C690" s="706" t="s">
        <v>2625</v>
      </c>
      <c r="D690" s="706" t="s">
        <v>2626</v>
      </c>
      <c r="E690" s="706" t="s">
        <v>1142</v>
      </c>
      <c r="F690" s="706" t="s">
        <v>1151</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G60101</v>
      </c>
      <c r="AK690" s="905" t="str">
        <f t="shared" si="67"/>
        <v>COUTANT BUICK LACROSSE</v>
      </c>
      <c r="AL690" s="905">
        <f>IFERROR(INDEX(G690:R690,1,MATCH(Parametres!$B$3,G$1:R$1,0)-1)*IF(OR(F690="L",F690="S",F690="I"),-1,1),"")</f>
        <v>0</v>
      </c>
      <c r="AM690" s="905">
        <f t="shared" si="62"/>
        <v>0</v>
      </c>
      <c r="AN690" s="905">
        <f>INDEX(G690:R690,1,MATCH(Parametres!$B$3,G$1:R$1,0))*IF(OR(F690="L",F690="S",F690="I"),-1,1)</f>
        <v>0</v>
      </c>
      <c r="AO690" s="487" t="str">
        <f>+VLOOKUP($AJ690,Data_Validation!$A:$D,1,0)</f>
        <v>G60101</v>
      </c>
      <c r="AP690" s="487" t="str">
        <f>+VLOOKUP($AJ690,Data_Validation!$A:$D,3,0)</f>
        <v>Véhicules neufs</v>
      </c>
      <c r="AQ690" s="487" t="str">
        <f>+VLOOKUP($AJ690,Data_Validation!$A:$D,4,0)</f>
        <v>Autos détail</v>
      </c>
      <c r="AR690" s="487" t="s">
        <v>299</v>
      </c>
      <c r="AS690" s="487">
        <f>+VLOOKUP($AJ690,Data_Validation!$A:$E,5,0)</f>
        <v>0</v>
      </c>
      <c r="AT690" s="904" t="str">
        <f t="shared" si="63"/>
        <v>G60101</v>
      </c>
      <c r="AU690" s="488" t="str">
        <f t="shared" si="64"/>
        <v>COUTANT BUICK LACROSSE</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1147</v>
      </c>
      <c r="B691" s="706">
        <v>2025</v>
      </c>
      <c r="C691" s="706" t="s">
        <v>2627</v>
      </c>
      <c r="D691" s="706" t="s">
        <v>2628</v>
      </c>
      <c r="E691" s="706" t="s">
        <v>1142</v>
      </c>
      <c r="F691" s="706" t="s">
        <v>1151</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G60120</v>
      </c>
      <c r="AK691" s="905" t="str">
        <f t="shared" si="67"/>
        <v>COUT-MALIBU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G60120</v>
      </c>
      <c r="AU691" s="488" t="str">
        <f t="shared" si="64"/>
        <v>COUT-MALIBU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customHeight="1">
      <c r="A692" s="706" t="s">
        <v>1147</v>
      </c>
      <c r="B692" s="706">
        <v>2025</v>
      </c>
      <c r="C692" s="706" t="s">
        <v>2629</v>
      </c>
      <c r="D692" s="706" t="s">
        <v>2630</v>
      </c>
      <c r="E692" s="706" t="s">
        <v>1142</v>
      </c>
      <c r="F692" s="706" t="s">
        <v>1151</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G602</v>
      </c>
      <c r="AK692" s="905" t="str">
        <f t="shared" si="67"/>
        <v>COUT - GMC CANYON</v>
      </c>
      <c r="AL692" s="905">
        <f>IFERROR(INDEX(G692:R692,1,MATCH(Parametres!$B$3,G$1:R$1,0)-1)*IF(OR(F692="L",F692="S",F692="I"),-1,1),"")</f>
        <v>0</v>
      </c>
      <c r="AM692" s="905">
        <f t="shared" si="62"/>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t="str">
        <f t="shared" si="63"/>
        <v>G602</v>
      </c>
      <c r="AU692" s="488" t="str">
        <f t="shared" si="64"/>
        <v>COUT - GMC CANYON</v>
      </c>
      <c r="AV692" s="899">
        <f>IFERROR(INDEX(V692:AG692,1,MATCH(Parametres!$B$3,V$1:AG$1,0)-1)*IF(OR(C692="L",C692="S",C692="I"),-1,1),"")</f>
        <v>0</v>
      </c>
      <c r="AW692" s="899">
        <f t="shared" si="65"/>
        <v>0</v>
      </c>
      <c r="AX692" s="899">
        <f>INDEX(V692:AG692,1,MATCH(Parametres!$B$3,V$1:AG$1,0))*IF(OR(C692="L",C692="S",C692="I"),-1,1)</f>
        <v>0</v>
      </c>
      <c r="AY692" s="487" t="s">
        <v>337</v>
      </c>
      <c r="AZ692" s="487" t="e">
        <f>+VLOOKUP($AJ692,Data_Validation!$A:$E,5,0)</f>
        <v>#N/A</v>
      </c>
    </row>
    <row r="693" spans="1:52" ht="15" customHeight="1">
      <c r="A693" s="706" t="s">
        <v>1147</v>
      </c>
      <c r="B693" s="706">
        <v>2025</v>
      </c>
      <c r="C693" s="706" t="s">
        <v>2631</v>
      </c>
      <c r="D693" s="706" t="s">
        <v>2632</v>
      </c>
      <c r="E693" s="706" t="s">
        <v>1142</v>
      </c>
      <c r="F693" s="706" t="s">
        <v>1151</v>
      </c>
      <c r="G693" s="706">
        <v>0</v>
      </c>
      <c r="H693" s="706">
        <v>0</v>
      </c>
      <c r="I693" s="706">
        <v>0</v>
      </c>
      <c r="J693" s="706">
        <v>0</v>
      </c>
      <c r="K693" s="706">
        <v>0</v>
      </c>
      <c r="L693" s="706">
        <v>0</v>
      </c>
      <c r="M693" s="706">
        <v>0</v>
      </c>
      <c r="N693" s="706">
        <v>0</v>
      </c>
      <c r="O693" s="706">
        <v>0</v>
      </c>
      <c r="P693" s="706">
        <v>0</v>
      </c>
      <c r="Q693" s="706">
        <v>0</v>
      </c>
      <c r="R693" s="706">
        <v>0</v>
      </c>
      <c r="S693" s="706">
        <v>0</v>
      </c>
      <c r="T693" s="706">
        <v>0</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G60200</v>
      </c>
      <c r="AK693" s="905" t="str">
        <f t="shared" si="67"/>
        <v>COUT-MALIBU MAXX</v>
      </c>
      <c r="AL693" s="905">
        <f>IFERROR(INDEX(G693:R693,1,MATCH(Parametres!$B$3,G$1:R$1,0)-1)*IF(OR(F693="L",F693="S",F693="I"),-1,1),"")</f>
        <v>0</v>
      </c>
      <c r="AM693" s="905">
        <f t="shared" si="62"/>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t="str">
        <f t="shared" si="63"/>
        <v>G60200</v>
      </c>
      <c r="AU693" s="488" t="str">
        <f t="shared" si="64"/>
        <v>COUT-MALIBU MAXX</v>
      </c>
      <c r="AV693" s="899">
        <f>IFERROR(INDEX(V693:AG693,1,MATCH(Parametres!$B$3,V$1:AG$1,0)-1)*IF(OR(C693="L",C693="S",C693="I"),-1,1),"")</f>
        <v>0</v>
      </c>
      <c r="AW693" s="899">
        <f t="shared" si="65"/>
        <v>0</v>
      </c>
      <c r="AX693" s="899">
        <f>INDEX(V693:AG693,1,MATCH(Parametres!$B$3,V$1:AG$1,0))*IF(OR(C693="L",C693="S",C693="I"),-1,1)</f>
        <v>0</v>
      </c>
      <c r="AY693" s="487" t="s">
        <v>337</v>
      </c>
      <c r="AZ693" s="487" t="e">
        <f>+VLOOKUP($AJ693,Data_Validation!$A:$E,5,0)</f>
        <v>#N/A</v>
      </c>
    </row>
    <row r="694" spans="1:52" ht="15" customHeight="1">
      <c r="A694" s="706" t="s">
        <v>1147</v>
      </c>
      <c r="B694" s="706">
        <v>2025</v>
      </c>
      <c r="C694" s="706" t="s">
        <v>2633</v>
      </c>
      <c r="D694" s="706" t="s">
        <v>2634</v>
      </c>
      <c r="E694" s="706" t="s">
        <v>1142</v>
      </c>
      <c r="F694" s="706" t="s">
        <v>1151</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G60201</v>
      </c>
      <c r="AK694" s="905" t="str">
        <f t="shared" si="67"/>
        <v>COUT - SONIC</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G60201</v>
      </c>
      <c r="AU694" s="488" t="str">
        <f t="shared" si="64"/>
        <v>COUT - SONIC</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hidden="1" customHeight="1">
      <c r="A695" s="706" t="s">
        <v>1147</v>
      </c>
      <c r="B695" s="706">
        <v>2025</v>
      </c>
      <c r="C695" s="706" t="s">
        <v>2635</v>
      </c>
      <c r="D695" s="706" t="s">
        <v>2636</v>
      </c>
      <c r="E695" s="706" t="s">
        <v>1142</v>
      </c>
      <c r="F695" s="706" t="s">
        <v>1151</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G60204</v>
      </c>
      <c r="AK695" s="905" t="str">
        <f t="shared" si="67"/>
        <v>COUTANT-VERANO</v>
      </c>
      <c r="AL695" s="905">
        <f>IFERROR(INDEX(G695:R695,1,MATCH(Parametres!$B$3,G$1:R$1,0)-1)*IF(OR(F695="L",F695="S",F695="I"),-1,1),"")</f>
        <v>0</v>
      </c>
      <c r="AM695" s="905">
        <f t="shared" si="62"/>
        <v>0</v>
      </c>
      <c r="AN695" s="905">
        <f>INDEX(G695:R695,1,MATCH(Parametres!$B$3,G$1:R$1,0))*IF(OR(F695="L",F695="S",F695="I"),-1,1)</f>
        <v>0</v>
      </c>
      <c r="AO695" s="487" t="str">
        <f>+VLOOKUP($AJ695,Data_Validation!$A:$D,1,0)</f>
        <v>G60204</v>
      </c>
      <c r="AP695" s="487" t="str">
        <f>+VLOOKUP($AJ695,Data_Validation!$A:$D,3,0)</f>
        <v>Véhicules neufs</v>
      </c>
      <c r="AQ695" s="487" t="str">
        <f>+VLOOKUP($AJ695,Data_Validation!$A:$D,4,0)</f>
        <v>Autos détail</v>
      </c>
      <c r="AR695" s="487" t="s">
        <v>299</v>
      </c>
      <c r="AS695" s="487">
        <f>+VLOOKUP($AJ695,Data_Validation!$A:$E,5,0)</f>
        <v>0</v>
      </c>
      <c r="AT695" s="904" t="str">
        <f t="shared" si="63"/>
        <v>G60204</v>
      </c>
      <c r="AU695" s="488" t="str">
        <f t="shared" si="64"/>
        <v>COUTANT-VERANO</v>
      </c>
      <c r="AV695" s="899">
        <f>IFERROR(INDEX(V695:AG695,1,MATCH(Parametres!$B$3,V$1:AG$1,0)-1)*IF(OR(C695="L",C695="S",C695="I"),-1,1),"")</f>
        <v>0</v>
      </c>
      <c r="AW695" s="899">
        <f t="shared" si="65"/>
        <v>0</v>
      </c>
      <c r="AX695" s="899">
        <f>INDEX(V695:AG695,1,MATCH(Parametres!$B$3,V$1:AG$1,0))*IF(OR(C695="L",C695="S",C695="I"),-1,1)</f>
        <v>0</v>
      </c>
      <c r="AY695" s="487" t="s">
        <v>337</v>
      </c>
      <c r="AZ695" s="487">
        <f>+VLOOKUP($AJ695,Data_Validation!$A:$E,5,0)</f>
        <v>0</v>
      </c>
    </row>
    <row r="696" spans="1:52" ht="15" hidden="1" customHeight="1">
      <c r="A696" s="706" t="s">
        <v>1147</v>
      </c>
      <c r="B696" s="706">
        <v>2025</v>
      </c>
      <c r="C696" s="706" t="s">
        <v>2637</v>
      </c>
      <c r="D696" s="706" t="s">
        <v>2638</v>
      </c>
      <c r="E696" s="706" t="s">
        <v>1142</v>
      </c>
      <c r="F696" s="706" t="s">
        <v>1151</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G60300</v>
      </c>
      <c r="AK696" s="905" t="str">
        <f t="shared" si="67"/>
        <v>COUT-IMPALA</v>
      </c>
      <c r="AL696" s="905">
        <f>IFERROR(INDEX(G696:R696,1,MATCH(Parametres!$B$3,G$1:R$1,0)-1)*IF(OR(F696="L",F696="S",F696="I"),-1,1),"")</f>
        <v>0</v>
      </c>
      <c r="AM696" s="905">
        <f t="shared" si="62"/>
        <v>0</v>
      </c>
      <c r="AN696" s="905">
        <f>INDEX(G696:R696,1,MATCH(Parametres!$B$3,G$1:R$1,0))*IF(OR(F696="L",F696="S",F696="I"),-1,1)</f>
        <v>0</v>
      </c>
      <c r="AO696" s="487" t="str">
        <f>+VLOOKUP($AJ696,Data_Validation!$A:$D,1,0)</f>
        <v>G60300</v>
      </c>
      <c r="AP696" s="487" t="str">
        <f>+VLOOKUP($AJ696,Data_Validation!$A:$D,3,0)</f>
        <v>Véhicules neufs</v>
      </c>
      <c r="AQ696" s="487" t="str">
        <f>+VLOOKUP($AJ696,Data_Validation!$A:$D,4,0)</f>
        <v>Autos détail</v>
      </c>
      <c r="AR696" s="487" t="s">
        <v>299</v>
      </c>
      <c r="AS696" s="487">
        <f>+VLOOKUP($AJ696,Data_Validation!$A:$E,5,0)</f>
        <v>0</v>
      </c>
      <c r="AT696" s="904" t="str">
        <f t="shared" si="63"/>
        <v>G60300</v>
      </c>
      <c r="AU696" s="488" t="str">
        <f t="shared" si="64"/>
        <v>COUT-IMPALA</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1147</v>
      </c>
      <c r="B697" s="706">
        <v>2025</v>
      </c>
      <c r="C697" s="706" t="s">
        <v>2639</v>
      </c>
      <c r="D697" s="706" t="s">
        <v>2640</v>
      </c>
      <c r="E697" s="706" t="s">
        <v>1142</v>
      </c>
      <c r="F697" s="706" t="s">
        <v>1151</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G60320</v>
      </c>
      <c r="AK697" s="905" t="str">
        <f t="shared" si="67"/>
        <v>COUT-IMPALA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G60320</v>
      </c>
      <c r="AU697" s="488" t="str">
        <f t="shared" si="64"/>
        <v>COUT-IMPALA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hidden="1" customHeight="1">
      <c r="A698" s="706" t="s">
        <v>1147</v>
      </c>
      <c r="B698" s="706">
        <v>2025</v>
      </c>
      <c r="C698" s="706" t="s">
        <v>2641</v>
      </c>
      <c r="D698" s="706" t="s">
        <v>2642</v>
      </c>
      <c r="E698" s="706" t="s">
        <v>1142</v>
      </c>
      <c r="F698" s="706" t="s">
        <v>1151</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G60400</v>
      </c>
      <c r="AK698" s="905" t="str">
        <f t="shared" si="67"/>
        <v>COUT- SPARK</v>
      </c>
      <c r="AL698" s="905">
        <f>IFERROR(INDEX(G698:R698,1,MATCH(Parametres!$B$3,G$1:R$1,0)-1)*IF(OR(F698="L",F698="S",F698="I"),-1,1),"")</f>
        <v>0</v>
      </c>
      <c r="AM698" s="905">
        <f t="shared" si="62"/>
        <v>0</v>
      </c>
      <c r="AN698" s="905">
        <f>INDEX(G698:R698,1,MATCH(Parametres!$B$3,G$1:R$1,0))*IF(OR(F698="L",F698="S",F698="I"),-1,1)</f>
        <v>0</v>
      </c>
      <c r="AO698" s="487" t="str">
        <f>+VLOOKUP($AJ698,Data_Validation!$A:$D,1,0)</f>
        <v>G60400</v>
      </c>
      <c r="AP698" s="487" t="str">
        <f>+VLOOKUP($AJ698,Data_Validation!$A:$D,3,0)</f>
        <v>Véhicules neufs</v>
      </c>
      <c r="AQ698" s="487" t="str">
        <f>+VLOOKUP($AJ698,Data_Validation!$A:$D,4,0)</f>
        <v>Autos détail</v>
      </c>
      <c r="AR698" s="487" t="s">
        <v>299</v>
      </c>
      <c r="AS698" s="487">
        <f>+VLOOKUP($AJ698,Data_Validation!$A:$E,5,0)</f>
        <v>0</v>
      </c>
      <c r="AT698" s="904" t="str">
        <f t="shared" si="63"/>
        <v>G60400</v>
      </c>
      <c r="AU698" s="488" t="str">
        <f t="shared" si="64"/>
        <v>COUT- SPARK</v>
      </c>
      <c r="AV698" s="899">
        <f>IFERROR(INDEX(V698:AG698,1,MATCH(Parametres!$B$3,V$1:AG$1,0)-1)*IF(OR(C698="L",C698="S",C698="I"),-1,1),"")</f>
        <v>0</v>
      </c>
      <c r="AW698" s="899">
        <f t="shared" si="65"/>
        <v>0</v>
      </c>
      <c r="AX698" s="899">
        <f>INDEX(V698:AG698,1,MATCH(Parametres!$B$3,V$1:AG$1,0))*IF(OR(C698="L",C698="S",C698="I"),-1,1)</f>
        <v>0</v>
      </c>
      <c r="AY698" s="487" t="s">
        <v>337</v>
      </c>
      <c r="AZ698" s="487">
        <f>+VLOOKUP($AJ698,Data_Validation!$A:$E,5,0)</f>
        <v>0</v>
      </c>
    </row>
    <row r="699" spans="1:52" ht="15" hidden="1" customHeight="1">
      <c r="A699" s="706" t="s">
        <v>1147</v>
      </c>
      <c r="B699" s="706">
        <v>2025</v>
      </c>
      <c r="C699" s="706" t="s">
        <v>2643</v>
      </c>
      <c r="D699" s="706" t="s">
        <v>2644</v>
      </c>
      <c r="E699" s="706" t="s">
        <v>1142</v>
      </c>
      <c r="F699" s="706" t="s">
        <v>1151</v>
      </c>
      <c r="G699" s="706">
        <v>0</v>
      </c>
      <c r="H699" s="706">
        <v>83866.05</v>
      </c>
      <c r="I699" s="706">
        <v>83866.05</v>
      </c>
      <c r="J699" s="706">
        <v>230050.95</v>
      </c>
      <c r="K699" s="706">
        <v>331668.28000000003</v>
      </c>
      <c r="L699" s="706">
        <v>426854.35</v>
      </c>
      <c r="M699" s="706">
        <v>426854.35</v>
      </c>
      <c r="N699" s="706">
        <v>617633.35</v>
      </c>
      <c r="O699" s="706">
        <v>617633.35</v>
      </c>
      <c r="P699" s="706">
        <v>881995.56</v>
      </c>
      <c r="Q699" s="706">
        <v>881995.56</v>
      </c>
      <c r="R699" s="706">
        <v>881995.56</v>
      </c>
      <c r="S699" s="706">
        <v>80181.41</v>
      </c>
      <c r="T699" s="706">
        <v>80181.41</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G60500</v>
      </c>
      <c r="AK699" s="905" t="str">
        <f t="shared" si="67"/>
        <v>COUT-CORVETTE</v>
      </c>
      <c r="AL699" s="905">
        <f>IFERROR(INDEX(G699:R699,1,MATCH(Parametres!$B$3,G$1:R$1,0)-1)*IF(OR(F699="L",F699="S",F699="I"),-1,1),"")</f>
        <v>881995.56</v>
      </c>
      <c r="AM699" s="905">
        <f t="shared" si="62"/>
        <v>0</v>
      </c>
      <c r="AN699" s="905">
        <f>INDEX(G699:R699,1,MATCH(Parametres!$B$3,G$1:R$1,0))*IF(OR(F699="L",F699="S",F699="I"),-1,1)</f>
        <v>881995.56</v>
      </c>
      <c r="AO699" s="487" t="str">
        <f>+VLOOKUP($AJ699,Data_Validation!$A:$D,1,0)</f>
        <v>G60500</v>
      </c>
      <c r="AP699" s="487" t="str">
        <f>+VLOOKUP($AJ699,Data_Validation!$A:$D,3,0)</f>
        <v>Véhicules neufs</v>
      </c>
      <c r="AQ699" s="487" t="str">
        <f>+VLOOKUP($AJ699,Data_Validation!$A:$D,4,0)</f>
        <v>Autos détail</v>
      </c>
      <c r="AR699" s="487" t="s">
        <v>299</v>
      </c>
      <c r="AS699" s="487">
        <f>+VLOOKUP($AJ699,Data_Validation!$A:$E,5,0)</f>
        <v>0</v>
      </c>
      <c r="AT699" s="904" t="str">
        <f t="shared" si="63"/>
        <v>G60500</v>
      </c>
      <c r="AU699" s="488" t="str">
        <f t="shared" si="64"/>
        <v>COUT-CORVETTE</v>
      </c>
      <c r="AV699" s="899">
        <f>IFERROR(INDEX(V699:AG699,1,MATCH(Parametres!$B$3,V$1:AG$1,0)-1)*IF(OR(C699="L",C699="S",C699="I"),-1,1),"")</f>
        <v>0</v>
      </c>
      <c r="AW699" s="899">
        <f t="shared" si="65"/>
        <v>0</v>
      </c>
      <c r="AX699" s="899">
        <f>INDEX(V699:AG699,1,MATCH(Parametres!$B$3,V$1:AG$1,0))*IF(OR(C699="L",C699="S",C699="I"),-1,1)</f>
        <v>0</v>
      </c>
      <c r="AY699" s="487" t="s">
        <v>337</v>
      </c>
      <c r="AZ699" s="487">
        <f>+VLOOKUP($AJ699,Data_Validation!$A:$E,5,0)</f>
        <v>0</v>
      </c>
    </row>
    <row r="700" spans="1:52" ht="15" customHeight="1">
      <c r="A700" s="706" t="s">
        <v>1147</v>
      </c>
      <c r="B700" s="706">
        <v>2025</v>
      </c>
      <c r="C700" s="706" t="s">
        <v>2645</v>
      </c>
      <c r="D700" s="706" t="s">
        <v>2646</v>
      </c>
      <c r="E700" s="706" t="s">
        <v>1142</v>
      </c>
      <c r="F700" s="706" t="s">
        <v>1151</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G60600</v>
      </c>
      <c r="AK700" s="905" t="str">
        <f t="shared" si="67"/>
        <v>COUT-AVEO</v>
      </c>
      <c r="AL700" s="905">
        <f>IFERROR(INDEX(G700:R700,1,MATCH(Parametres!$B$3,G$1:R$1,0)-1)*IF(OR(F700="L",F700="S",F700="I"),-1,1),"")</f>
        <v>0</v>
      </c>
      <c r="AM700" s="905">
        <f t="shared" si="62"/>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t="str">
        <f t="shared" si="63"/>
        <v>G60600</v>
      </c>
      <c r="AU700" s="488" t="str">
        <f t="shared" si="64"/>
        <v>COUT-AVEO</v>
      </c>
      <c r="AV700" s="899">
        <f>IFERROR(INDEX(V700:AG700,1,MATCH(Parametres!$B$3,V$1:AG$1,0)-1)*IF(OR(C700="L",C700="S",C700="I"),-1,1),"")</f>
        <v>0</v>
      </c>
      <c r="AW700" s="899">
        <f t="shared" si="65"/>
        <v>0</v>
      </c>
      <c r="AX700" s="899">
        <f>INDEX(V700:AG700,1,MATCH(Parametres!$B$3,V$1:AG$1,0))*IF(OR(C700="L",C700="S",C700="I"),-1,1)</f>
        <v>0</v>
      </c>
      <c r="AY700" s="487" t="s">
        <v>337</v>
      </c>
      <c r="AZ700" s="487" t="e">
        <f>+VLOOKUP($AJ700,Data_Validation!$A:$E,5,0)</f>
        <v>#N/A</v>
      </c>
    </row>
    <row r="701" spans="1:52" ht="15" customHeight="1">
      <c r="A701" s="706" t="s">
        <v>1147</v>
      </c>
      <c r="B701" s="706">
        <v>2025</v>
      </c>
      <c r="C701" s="706" t="s">
        <v>2647</v>
      </c>
      <c r="D701" s="706" t="s">
        <v>2648</v>
      </c>
      <c r="E701" s="706" t="s">
        <v>1142</v>
      </c>
      <c r="F701" s="706" t="s">
        <v>1151</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G60620</v>
      </c>
      <c r="AK701" s="905" t="str">
        <f t="shared" si="67"/>
        <v>COUT-AVEO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G60620</v>
      </c>
      <c r="AU701" s="488" t="str">
        <f t="shared" si="64"/>
        <v>COUT-AVEO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1147</v>
      </c>
      <c r="B702" s="706">
        <v>2025</v>
      </c>
      <c r="C702" s="706" t="s">
        <v>2649</v>
      </c>
      <c r="D702" s="706" t="s">
        <v>2650</v>
      </c>
      <c r="E702" s="706" t="s">
        <v>1142</v>
      </c>
      <c r="F702" s="706" t="s">
        <v>1151</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G60700</v>
      </c>
      <c r="AK702" s="905" t="str">
        <f t="shared" si="67"/>
        <v>COUT BOLT - EV</v>
      </c>
      <c r="AL702" s="905">
        <f>IFERROR(INDEX(G702:R702,1,MATCH(Parametres!$B$3,G$1:R$1,0)-1)*IF(OR(F702="L",F702="S",F702="I"),-1,1),"")</f>
        <v>0</v>
      </c>
      <c r="AM702" s="905">
        <f t="shared" si="62"/>
        <v>0</v>
      </c>
      <c r="AN702" s="905">
        <f>INDEX(G702:R702,1,MATCH(Parametres!$B$3,G$1:R$1,0))*IF(OR(F702="L",F702="S",F702="I"),-1,1)</f>
        <v>0</v>
      </c>
      <c r="AO702" s="487" t="str">
        <f>+VLOOKUP($AJ702,Data_Validation!$A:$D,1,0)</f>
        <v>G60700</v>
      </c>
      <c r="AP702" s="487" t="str">
        <f>+VLOOKUP($AJ702,Data_Validation!$A:$D,3,0)</f>
        <v>Véhicules neufs</v>
      </c>
      <c r="AQ702" s="487" t="str">
        <f>+VLOOKUP($AJ702,Data_Validation!$A:$D,4,0)</f>
        <v>Camions electriques</v>
      </c>
      <c r="AR702" s="487" t="s">
        <v>299</v>
      </c>
      <c r="AS702" s="487">
        <f>+VLOOKUP($AJ702,Data_Validation!$A:$E,5,0)</f>
        <v>0</v>
      </c>
      <c r="AT702" s="904" t="str">
        <f t="shared" si="63"/>
        <v>G60700</v>
      </c>
      <c r="AU702" s="488" t="str">
        <f t="shared" si="64"/>
        <v>COUT BOLT - EV</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customHeight="1">
      <c r="A703" s="706" t="s">
        <v>1147</v>
      </c>
      <c r="B703" s="706">
        <v>2025</v>
      </c>
      <c r="C703" s="706" t="s">
        <v>2651</v>
      </c>
      <c r="D703" s="706" t="s">
        <v>2652</v>
      </c>
      <c r="E703" s="706" t="s">
        <v>1142</v>
      </c>
      <c r="F703" s="706" t="s">
        <v>1151</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G60720</v>
      </c>
      <c r="AK703" s="905" t="str">
        <f t="shared" si="67"/>
        <v>COUT-OPTRA           -LOC</v>
      </c>
      <c r="AL703" s="905">
        <f>IFERROR(INDEX(G703:R703,1,MATCH(Parametres!$B$3,G$1:R$1,0)-1)*IF(OR(F703="L",F703="S",F703="I"),-1,1),"")</f>
        <v>0</v>
      </c>
      <c r="AM703" s="905">
        <f t="shared" si="62"/>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t="str">
        <f t="shared" si="63"/>
        <v>G60720</v>
      </c>
      <c r="AU703" s="488" t="str">
        <f t="shared" si="64"/>
        <v>COUT-OPTRA           -LOC</v>
      </c>
      <c r="AV703" s="899">
        <f>IFERROR(INDEX(V703:AG703,1,MATCH(Parametres!$B$3,V$1:AG$1,0)-1)*IF(OR(C703="L",C703="S",C703="I"),-1,1),"")</f>
        <v>0</v>
      </c>
      <c r="AW703" s="899">
        <f t="shared" si="65"/>
        <v>0</v>
      </c>
      <c r="AX703" s="899">
        <f>INDEX(V703:AG703,1,MATCH(Parametres!$B$3,V$1:AG$1,0))*IF(OR(C703="L",C703="S",C703="I"),-1,1)</f>
        <v>0</v>
      </c>
      <c r="AY703" s="487" t="s">
        <v>337</v>
      </c>
      <c r="AZ703" s="487" t="e">
        <f>+VLOOKUP($AJ703,Data_Validation!$A:$E,5,0)</f>
        <v>#N/A</v>
      </c>
    </row>
    <row r="704" spans="1:52" ht="15" customHeight="1">
      <c r="A704" s="706" t="s">
        <v>1147</v>
      </c>
      <c r="B704" s="706">
        <v>2025</v>
      </c>
      <c r="C704" s="706" t="s">
        <v>2653</v>
      </c>
      <c r="D704" s="706" t="s">
        <v>2654</v>
      </c>
      <c r="E704" s="706" t="s">
        <v>1142</v>
      </c>
      <c r="F704" s="706" t="s">
        <v>1151</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G60800</v>
      </c>
      <c r="AK704" s="905" t="str">
        <f t="shared" si="67"/>
        <v>COUT-EPICA</v>
      </c>
      <c r="AL704" s="905">
        <f>IFERROR(INDEX(G704:R704,1,MATCH(Parametres!$B$3,G$1:R$1,0)-1)*IF(OR(F704="L",F704="S",F704="I"),-1,1),"")</f>
        <v>0</v>
      </c>
      <c r="AM704" s="905">
        <f t="shared" si="62"/>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t="str">
        <f t="shared" si="63"/>
        <v>G60800</v>
      </c>
      <c r="AU704" s="488" t="str">
        <f t="shared" si="64"/>
        <v>COUT-EPICA</v>
      </c>
      <c r="AV704" s="899">
        <f>IFERROR(INDEX(V704:AG704,1,MATCH(Parametres!$B$3,V$1:AG$1,0)-1)*IF(OR(C704="L",C704="S",C704="I"),-1,1),"")</f>
        <v>0</v>
      </c>
      <c r="AW704" s="899">
        <f t="shared" si="65"/>
        <v>0</v>
      </c>
      <c r="AX704" s="899">
        <f>INDEX(V704:AG704,1,MATCH(Parametres!$B$3,V$1:AG$1,0))*IF(OR(C704="L",C704="S",C704="I"),-1,1)</f>
        <v>0</v>
      </c>
      <c r="AY704" s="487" t="s">
        <v>337</v>
      </c>
      <c r="AZ704" s="487" t="e">
        <f>+VLOOKUP($AJ704,Data_Validation!$A:$E,5,0)</f>
        <v>#N/A</v>
      </c>
    </row>
    <row r="705" spans="1:52" ht="15" customHeight="1">
      <c r="A705" s="706" t="s">
        <v>1147</v>
      </c>
      <c r="B705" s="706">
        <v>2025</v>
      </c>
      <c r="C705" s="706" t="s">
        <v>2655</v>
      </c>
      <c r="D705" s="706" t="s">
        <v>2656</v>
      </c>
      <c r="E705" s="706" t="s">
        <v>1142</v>
      </c>
      <c r="F705" s="706" t="s">
        <v>1151</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G60820</v>
      </c>
      <c r="AK705" s="905" t="str">
        <f t="shared" si="67"/>
        <v>COUT-EPICA           -LOC</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G60820</v>
      </c>
      <c r="AU705" s="488" t="str">
        <f t="shared" si="64"/>
        <v>COUT-EPICA           -LOC</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hidden="1" customHeight="1">
      <c r="A706" s="706" t="s">
        <v>1147</v>
      </c>
      <c r="B706" s="706">
        <v>2025</v>
      </c>
      <c r="C706" s="706" t="s">
        <v>2657</v>
      </c>
      <c r="D706" s="706" t="s">
        <v>2658</v>
      </c>
      <c r="E706" s="706" t="s">
        <v>1142</v>
      </c>
      <c r="F706" s="706" t="s">
        <v>1151</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G60900</v>
      </c>
      <c r="AK706" s="905" t="str">
        <f t="shared" si="67"/>
        <v>COUT-COBALT</v>
      </c>
      <c r="AL706" s="905">
        <f>IFERROR(INDEX(G706:R706,1,MATCH(Parametres!$B$3,G$1:R$1,0)-1)*IF(OR(F706="L",F706="S",F706="I"),-1,1),"")</f>
        <v>0</v>
      </c>
      <c r="AM706" s="905">
        <f t="shared" si="62"/>
        <v>0</v>
      </c>
      <c r="AN706" s="905">
        <f>INDEX(G706:R706,1,MATCH(Parametres!$B$3,G$1:R$1,0))*IF(OR(F706="L",F706="S",F706="I"),-1,1)</f>
        <v>0</v>
      </c>
      <c r="AO706" s="487" t="str">
        <f>+VLOOKUP($AJ706,Data_Validation!$A:$D,1,0)</f>
        <v>G60900</v>
      </c>
      <c r="AP706" s="487" t="str">
        <f>+VLOOKUP($AJ706,Data_Validation!$A:$D,3,0)</f>
        <v>Véhicules neufs</v>
      </c>
      <c r="AQ706" s="487" t="str">
        <f>+VLOOKUP($AJ706,Data_Validation!$A:$D,4,0)</f>
        <v>Autos détail</v>
      </c>
      <c r="AR706" s="487" t="s">
        <v>299</v>
      </c>
      <c r="AS706" s="487">
        <f>+VLOOKUP($AJ706,Data_Validation!$A:$E,5,0)</f>
        <v>0</v>
      </c>
      <c r="AT706" s="904" t="str">
        <f t="shared" si="63"/>
        <v>G60900</v>
      </c>
      <c r="AU706" s="488" t="str">
        <f t="shared" si="64"/>
        <v>COUT-COBALT</v>
      </c>
      <c r="AV706" s="899">
        <f>IFERROR(INDEX(V706:AG706,1,MATCH(Parametres!$B$3,V$1:AG$1,0)-1)*IF(OR(C706="L",C706="S",C706="I"),-1,1),"")</f>
        <v>0</v>
      </c>
      <c r="AW706" s="899">
        <f t="shared" si="65"/>
        <v>0</v>
      </c>
      <c r="AX706" s="899">
        <f>INDEX(V706:AG706,1,MATCH(Parametres!$B$3,V$1:AG$1,0))*IF(OR(C706="L",C706="S",C706="I"),-1,1)</f>
        <v>0</v>
      </c>
      <c r="AY706" s="487" t="s">
        <v>337</v>
      </c>
      <c r="AZ706" s="487">
        <f>+VLOOKUP($AJ706,Data_Validation!$A:$E,5,0)</f>
        <v>0</v>
      </c>
    </row>
    <row r="707" spans="1:52" ht="15" customHeight="1">
      <c r="A707" s="706" t="s">
        <v>1147</v>
      </c>
      <c r="B707" s="706">
        <v>2025</v>
      </c>
      <c r="C707" s="706" t="s">
        <v>2659</v>
      </c>
      <c r="D707" s="706" t="s">
        <v>2660</v>
      </c>
      <c r="E707" s="706" t="s">
        <v>1142</v>
      </c>
      <c r="F707" s="706" t="s">
        <v>1151</v>
      </c>
      <c r="G707" s="706">
        <v>0</v>
      </c>
      <c r="H707" s="706">
        <v>0</v>
      </c>
      <c r="I707" s="706">
        <v>0</v>
      </c>
      <c r="J707" s="706">
        <v>0</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G60920</v>
      </c>
      <c r="AK707" s="905" t="str">
        <f t="shared" si="67"/>
        <v>COUT-COBALT          -LOC</v>
      </c>
      <c r="AL707" s="905">
        <f>IFERROR(INDEX(G707:R707,1,MATCH(Parametres!$B$3,G$1:R$1,0)-1)*IF(OR(F707="L",F707="S",F707="I"),-1,1),"")</f>
        <v>0</v>
      </c>
      <c r="AM707" s="905">
        <f t="shared" si="62"/>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t="str">
        <f t="shared" si="63"/>
        <v>G60920</v>
      </c>
      <c r="AU707" s="488" t="str">
        <f t="shared" si="64"/>
        <v>COUT-COBALT          -LOC</v>
      </c>
      <c r="AV707" s="899">
        <f>IFERROR(INDEX(V707:AG707,1,MATCH(Parametres!$B$3,V$1:AG$1,0)-1)*IF(OR(C707="L",C707="S",C707="I"),-1,1),"")</f>
        <v>0</v>
      </c>
      <c r="AW707" s="899">
        <f t="shared" si="65"/>
        <v>0</v>
      </c>
      <c r="AX707" s="899">
        <f>INDEX(V707:AG707,1,MATCH(Parametres!$B$3,V$1:AG$1,0))*IF(OR(C707="L",C707="S",C707="I"),-1,1)</f>
        <v>0</v>
      </c>
      <c r="AY707" s="487" t="s">
        <v>337</v>
      </c>
      <c r="AZ707" s="487" t="e">
        <f>+VLOOKUP($AJ707,Data_Validation!$A:$E,5,0)</f>
        <v>#N/A</v>
      </c>
    </row>
    <row r="708" spans="1:52" ht="15" hidden="1" customHeight="1">
      <c r="A708" s="706" t="s">
        <v>1147</v>
      </c>
      <c r="B708" s="706">
        <v>2025</v>
      </c>
      <c r="C708" s="706" t="s">
        <v>2661</v>
      </c>
      <c r="D708" s="706" t="s">
        <v>2662</v>
      </c>
      <c r="E708" s="706" t="s">
        <v>1142</v>
      </c>
      <c r="F708" s="706" t="s">
        <v>1151</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G61000</v>
      </c>
      <c r="AK708" s="905" t="str">
        <f t="shared" si="67"/>
        <v>COUT - CAMARO</v>
      </c>
      <c r="AL708" s="905">
        <f>IFERROR(INDEX(G708:R708,1,MATCH(Parametres!$B$3,G$1:R$1,0)-1)*IF(OR(F708="L",F708="S",F708="I"),-1,1),"")</f>
        <v>0</v>
      </c>
      <c r="AM708" s="905">
        <f t="shared" ref="AM708:AM771" si="68">AN708-AL708</f>
        <v>0</v>
      </c>
      <c r="AN708" s="905">
        <f>INDEX(G708:R708,1,MATCH(Parametres!$B$3,G$1:R$1,0))*IF(OR(F708="L",F708="S",F708="I"),-1,1)</f>
        <v>0</v>
      </c>
      <c r="AO708" s="487" t="str">
        <f>+VLOOKUP($AJ708,Data_Validation!$A:$D,1,0)</f>
        <v>G61000</v>
      </c>
      <c r="AP708" s="487" t="str">
        <f>+VLOOKUP($AJ708,Data_Validation!$A:$D,3,0)</f>
        <v>Véhicules neufs</v>
      </c>
      <c r="AQ708" s="487" t="str">
        <f>+VLOOKUP($AJ708,Data_Validation!$A:$D,4,0)</f>
        <v>Autos détail</v>
      </c>
      <c r="AR708" s="487" t="s">
        <v>299</v>
      </c>
      <c r="AS708" s="487">
        <f>+VLOOKUP($AJ708,Data_Validation!$A:$E,5,0)</f>
        <v>0</v>
      </c>
      <c r="AT708" s="904" t="str">
        <f t="shared" ref="AT708:AT771" si="69">C708</f>
        <v>G61000</v>
      </c>
      <c r="AU708" s="488" t="str">
        <f t="shared" ref="AU708:AU771" si="70">D708</f>
        <v>COUT - CAMARO</v>
      </c>
      <c r="AV708" s="899">
        <f>IFERROR(INDEX(V708:AG708,1,MATCH(Parametres!$B$3,V$1:AG$1,0)-1)*IF(OR(C708="L",C708="S",C708="I"),-1,1),"")</f>
        <v>0</v>
      </c>
      <c r="AW708" s="899">
        <f t="shared" ref="AW708:AW771" si="71">AX708-AV708</f>
        <v>0</v>
      </c>
      <c r="AX708" s="899">
        <f>INDEX(V708:AG708,1,MATCH(Parametres!$B$3,V$1:AG$1,0))*IF(OR(C708="L",C708="S",C708="I"),-1,1)</f>
        <v>0</v>
      </c>
      <c r="AY708" s="487" t="s">
        <v>337</v>
      </c>
      <c r="AZ708" s="487">
        <f>+VLOOKUP($AJ708,Data_Validation!$A:$E,5,0)</f>
        <v>0</v>
      </c>
    </row>
    <row r="709" spans="1:52" ht="15" hidden="1" customHeight="1">
      <c r="A709" s="706" t="s">
        <v>1147</v>
      </c>
      <c r="B709" s="706">
        <v>2025</v>
      </c>
      <c r="C709" s="706" t="s">
        <v>2663</v>
      </c>
      <c r="D709" s="706" t="s">
        <v>2664</v>
      </c>
      <c r="E709" s="706" t="s">
        <v>1142</v>
      </c>
      <c r="F709" s="706" t="s">
        <v>1151</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G61100</v>
      </c>
      <c r="AK709" s="905" t="str">
        <f t="shared" si="67"/>
        <v>COUTANT CRUZE</v>
      </c>
      <c r="AL709" s="905">
        <f>IFERROR(INDEX(G709:R709,1,MATCH(Parametres!$B$3,G$1:R$1,0)-1)*IF(OR(F709="L",F709="S",F709="I"),-1,1),"")</f>
        <v>0</v>
      </c>
      <c r="AM709" s="905">
        <f t="shared" si="68"/>
        <v>0</v>
      </c>
      <c r="AN709" s="905">
        <f>INDEX(G709:R709,1,MATCH(Parametres!$B$3,G$1:R$1,0))*IF(OR(F709="L",F709="S",F709="I"),-1,1)</f>
        <v>0</v>
      </c>
      <c r="AO709" s="487" t="str">
        <f>+VLOOKUP($AJ709,Data_Validation!$A:$D,1,0)</f>
        <v>G61100</v>
      </c>
      <c r="AP709" s="487" t="str">
        <f>+VLOOKUP($AJ709,Data_Validation!$A:$D,3,0)</f>
        <v>Véhicules neufs</v>
      </c>
      <c r="AQ709" s="487" t="str">
        <f>+VLOOKUP($AJ709,Data_Validation!$A:$D,4,0)</f>
        <v>Autos détail</v>
      </c>
      <c r="AR709" s="487" t="s">
        <v>299</v>
      </c>
      <c r="AS709" s="487">
        <f>+VLOOKUP($AJ709,Data_Validation!$A:$E,5,0)</f>
        <v>0</v>
      </c>
      <c r="AT709" s="904" t="str">
        <f t="shared" si="69"/>
        <v>G61100</v>
      </c>
      <c r="AU709" s="488" t="str">
        <f t="shared" si="70"/>
        <v>COUTANT CRUZE</v>
      </c>
      <c r="AV709" s="899">
        <f>IFERROR(INDEX(V709:AG709,1,MATCH(Parametres!$B$3,V$1:AG$1,0)-1)*IF(OR(C709="L",C709="S",C709="I"),-1,1),"")</f>
        <v>0</v>
      </c>
      <c r="AW709" s="899">
        <f t="shared" si="71"/>
        <v>0</v>
      </c>
      <c r="AX709" s="899">
        <f>INDEX(V709:AG709,1,MATCH(Parametres!$B$3,V$1:AG$1,0))*IF(OR(C709="L",C709="S",C709="I"),-1,1)</f>
        <v>0</v>
      </c>
      <c r="AY709" s="487" t="s">
        <v>337</v>
      </c>
      <c r="AZ709" s="487">
        <f>+VLOOKUP($AJ709,Data_Validation!$A:$E,5,0)</f>
        <v>0</v>
      </c>
    </row>
    <row r="710" spans="1:52" ht="15" customHeight="1">
      <c r="A710" s="706" t="s">
        <v>1147</v>
      </c>
      <c r="B710" s="706">
        <v>2025</v>
      </c>
      <c r="C710" s="706" t="s">
        <v>2665</v>
      </c>
      <c r="D710" s="706" t="s">
        <v>2666</v>
      </c>
      <c r="E710" s="706" t="s">
        <v>333</v>
      </c>
      <c r="F710" s="706" t="s">
        <v>1151</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G61600</v>
      </c>
      <c r="AK710" s="905" t="str">
        <f t="shared" si="67"/>
        <v>INDEMNITE MARKETING AUTOS</v>
      </c>
      <c r="AL710" s="905">
        <f>IFERROR(INDEX(G710:R710,1,MATCH(Parametres!$B$3,G$1:R$1,0)-1)*IF(OR(F710="L",F710="S",F710="I"),-1,1),"")</f>
        <v>0</v>
      </c>
      <c r="AM710" s="905">
        <f t="shared" si="68"/>
        <v>0</v>
      </c>
      <c r="AN710" s="905">
        <f>INDEX(G710:R710,1,MATCH(Parametres!$B$3,G$1:R$1,0))*IF(OR(F710="L",F710="S",F710="I"),-1,1)</f>
        <v>0</v>
      </c>
      <c r="AO710" s="487" t="str">
        <f>+VLOOKUP($AJ710,Data_Validation!$A:$D,1,0)</f>
        <v>G61600</v>
      </c>
      <c r="AP710" s="487">
        <f>+VLOOKUP($AJ710,Data_Validation!$A:$D,3,0)</f>
        <v>0</v>
      </c>
      <c r="AQ710" s="487">
        <f>+VLOOKUP($AJ710,Data_Validation!$A:$D,4,0)</f>
        <v>0</v>
      </c>
      <c r="AR710" s="487" t="s">
        <v>299</v>
      </c>
      <c r="AS710" s="487">
        <f>+VLOOKUP($AJ710,Data_Validation!$A:$E,5,0)</f>
        <v>0</v>
      </c>
      <c r="AT710" s="904" t="str">
        <f t="shared" si="69"/>
        <v>G61600</v>
      </c>
      <c r="AU710" s="488" t="str">
        <f t="shared" si="70"/>
        <v>INDEMNITE MARKETING AUTOS</v>
      </c>
      <c r="AV710" s="899">
        <f>IFERROR(INDEX(V710:AG710,1,MATCH(Parametres!$B$3,V$1:AG$1,0)-1)*IF(OR(C710="L",C710="S",C710="I"),-1,1),"")</f>
        <v>0</v>
      </c>
      <c r="AW710" s="899">
        <f t="shared" si="71"/>
        <v>0</v>
      </c>
      <c r="AX710" s="899">
        <f>INDEX(V710:AG710,1,MATCH(Parametres!$B$3,V$1:AG$1,0))*IF(OR(C710="L",C710="S",C710="I"),-1,1)</f>
        <v>0</v>
      </c>
      <c r="AY710" s="487" t="s">
        <v>337</v>
      </c>
      <c r="AZ710" s="487">
        <f>+VLOOKUP($AJ710,Data_Validation!$A:$E,5,0)</f>
        <v>0</v>
      </c>
    </row>
    <row r="711" spans="1:52" ht="15" customHeight="1">
      <c r="A711" s="706" t="s">
        <v>1147</v>
      </c>
      <c r="B711" s="706">
        <v>2025</v>
      </c>
      <c r="C711" s="706" t="s">
        <v>2667</v>
      </c>
      <c r="D711" s="706" t="s">
        <v>2668</v>
      </c>
      <c r="E711" s="706" t="s">
        <v>1142</v>
      </c>
      <c r="F711" s="706" t="s">
        <v>1151</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G61700</v>
      </c>
      <c r="AK711" s="905" t="str">
        <f t="shared" si="67"/>
        <v>COUT-AUTRES CHEV AUTOS</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G61700</v>
      </c>
      <c r="AU711" s="488" t="str">
        <f t="shared" si="70"/>
        <v>COUT-AUTRES CHEV AUTOS</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1147</v>
      </c>
      <c r="B712" s="706">
        <v>2025</v>
      </c>
      <c r="C712" s="706" t="s">
        <v>2669</v>
      </c>
      <c r="D712" s="706" t="s">
        <v>2670</v>
      </c>
      <c r="E712" s="706" t="s">
        <v>1142</v>
      </c>
      <c r="F712" s="706" t="s">
        <v>1151</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G61720</v>
      </c>
      <c r="AK712" s="905" t="str">
        <f t="shared" si="67"/>
        <v>COUT-AUTRE CHEV.AUTOS-LOC</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G61720</v>
      </c>
      <c r="AU712" s="488" t="str">
        <f t="shared" si="70"/>
        <v>COUT-AUTRE CHEV.AUTOS-LOC</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1147</v>
      </c>
      <c r="B713" s="706">
        <v>2025</v>
      </c>
      <c r="C713" s="706" t="s">
        <v>2671</v>
      </c>
      <c r="D713" s="706" t="s">
        <v>2672</v>
      </c>
      <c r="E713" s="706" t="s">
        <v>1142</v>
      </c>
      <c r="F713" s="706" t="s">
        <v>1151</v>
      </c>
      <c r="G713" s="706">
        <v>0</v>
      </c>
      <c r="H713" s="706">
        <v>0</v>
      </c>
      <c r="I713" s="706">
        <v>0</v>
      </c>
      <c r="J713" s="706">
        <v>0.15</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G61799</v>
      </c>
      <c r="AK713" s="905" t="str">
        <f t="shared" si="67"/>
        <v>COUT-ECHANGE CONCESSION.</v>
      </c>
      <c r="AL713" s="905">
        <f>IFERROR(INDEX(G713:R713,1,MATCH(Parametres!$B$3,G$1:R$1,0)-1)*IF(OR(F713="L",F713="S",F713="I"),-1,1),"")</f>
        <v>0</v>
      </c>
      <c r="AM713" s="905">
        <f t="shared" si="68"/>
        <v>0</v>
      </c>
      <c r="AN713" s="905">
        <f>INDEX(G713:R713,1,MATCH(Parametres!$B$3,G$1:R$1,0))*IF(OR(F713="L",F713="S",F713="I"),-1,1)</f>
        <v>0</v>
      </c>
      <c r="AO713" s="487" t="str">
        <f>+VLOOKUP($AJ713,Data_Validation!$A:$D,1,0)</f>
        <v>G61799</v>
      </c>
      <c r="AP713" s="487">
        <f>+VLOOKUP($AJ713,Data_Validation!$A:$D,3,0)</f>
        <v>0</v>
      </c>
      <c r="AQ713" s="487">
        <f>+VLOOKUP($AJ713,Data_Validation!$A:$D,4,0)</f>
        <v>0</v>
      </c>
      <c r="AR713" s="487" t="s">
        <v>299</v>
      </c>
      <c r="AS713" s="487">
        <f>+VLOOKUP($AJ713,Data_Validation!$A:$E,5,0)</f>
        <v>0</v>
      </c>
      <c r="AT713" s="904" t="str">
        <f t="shared" si="69"/>
        <v>G61799</v>
      </c>
      <c r="AU713" s="488" t="str">
        <f t="shared" si="70"/>
        <v>COUT-ECHANGE CONCESSION.</v>
      </c>
      <c r="AV713" s="899">
        <f>IFERROR(INDEX(V713:AG713,1,MATCH(Parametres!$B$3,V$1:AG$1,0)-1)*IF(OR(C713="L",C713="S",C713="I"),-1,1),"")</f>
        <v>0</v>
      </c>
      <c r="AW713" s="899">
        <f t="shared" si="71"/>
        <v>0</v>
      </c>
      <c r="AX713" s="899">
        <f>INDEX(V713:AG713,1,MATCH(Parametres!$B$3,V$1:AG$1,0))*IF(OR(C713="L",C713="S",C713="I"),-1,1)</f>
        <v>0</v>
      </c>
      <c r="AY713" s="487" t="s">
        <v>337</v>
      </c>
      <c r="AZ713" s="487">
        <f>+VLOOKUP($AJ713,Data_Validation!$A:$E,5,0)</f>
        <v>0</v>
      </c>
    </row>
    <row r="714" spans="1:52" ht="15" customHeight="1">
      <c r="A714" s="706" t="s">
        <v>1147</v>
      </c>
      <c r="B714" s="706">
        <v>2025</v>
      </c>
      <c r="C714" s="706" t="s">
        <v>2673</v>
      </c>
      <c r="D714" s="706" t="s">
        <v>2674</v>
      </c>
      <c r="E714" s="706" t="s">
        <v>1142</v>
      </c>
      <c r="F714" s="706" t="s">
        <v>1151</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G61800</v>
      </c>
      <c r="AK714" s="905" t="str">
        <f t="shared" si="67"/>
        <v>COUTANT AUTRE CHEVROLET</v>
      </c>
      <c r="AL714" s="905">
        <f>IFERROR(INDEX(G714:R714,1,MATCH(Parametres!$B$3,G$1:R$1,0)-1)*IF(OR(F714="L",F714="S",F714="I"),-1,1),"")</f>
        <v>0</v>
      </c>
      <c r="AM714" s="905">
        <f t="shared" si="68"/>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t="str">
        <f t="shared" si="69"/>
        <v>G61800</v>
      </c>
      <c r="AU714" s="488" t="str">
        <f t="shared" si="70"/>
        <v>COUTANT AUTRE CHEVROLET</v>
      </c>
      <c r="AV714" s="899">
        <f>IFERROR(INDEX(V714:AG714,1,MATCH(Parametres!$B$3,V$1:AG$1,0)-1)*IF(OR(C714="L",C714="S",C714="I"),-1,1),"")</f>
        <v>0</v>
      </c>
      <c r="AW714" s="899">
        <f t="shared" si="71"/>
        <v>0</v>
      </c>
      <c r="AX714" s="899">
        <f>INDEX(V714:AG714,1,MATCH(Parametres!$B$3,V$1:AG$1,0))*IF(OR(C714="L",C714="S",C714="I"),-1,1)</f>
        <v>0</v>
      </c>
      <c r="AY714" s="487" t="s">
        <v>337</v>
      </c>
      <c r="AZ714" s="487" t="e">
        <f>+VLOOKUP($AJ714,Data_Validation!$A:$E,5,0)</f>
        <v>#N/A</v>
      </c>
    </row>
    <row r="715" spans="1:52" ht="15" customHeight="1">
      <c r="A715" s="706" t="s">
        <v>1147</v>
      </c>
      <c r="B715" s="706">
        <v>2025</v>
      </c>
      <c r="C715" s="706" t="s">
        <v>2675</v>
      </c>
      <c r="D715" s="706" t="s">
        <v>2676</v>
      </c>
      <c r="E715" s="706" t="s">
        <v>1142</v>
      </c>
      <c r="F715" s="706" t="s">
        <v>1151</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G62000</v>
      </c>
      <c r="AK715" s="905" t="str">
        <f t="shared" si="67"/>
        <v>COUT-PARC VOITURES</v>
      </c>
      <c r="AL715" s="905">
        <f>IFERROR(INDEX(G715:R715,1,MATCH(Parametres!$B$3,G$1:R$1,0)-1)*IF(OR(F715="L",F715="S",F715="I"),-1,1),"")</f>
        <v>0</v>
      </c>
      <c r="AM715" s="905">
        <f t="shared" si="68"/>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t="str">
        <f t="shared" si="69"/>
        <v>G62000</v>
      </c>
      <c r="AU715" s="488" t="str">
        <f t="shared" si="70"/>
        <v>COUT-PARC VOITURES</v>
      </c>
      <c r="AV715" s="899">
        <f>IFERROR(INDEX(V715:AG715,1,MATCH(Parametres!$B$3,V$1:AG$1,0)-1)*IF(OR(C715="L",C715="S",C715="I"),-1,1),"")</f>
        <v>0</v>
      </c>
      <c r="AW715" s="899">
        <f t="shared" si="71"/>
        <v>0</v>
      </c>
      <c r="AX715" s="899">
        <f>INDEX(V715:AG715,1,MATCH(Parametres!$B$3,V$1:AG$1,0))*IF(OR(C715="L",C715="S",C715="I"),-1,1)</f>
        <v>0</v>
      </c>
      <c r="AY715" s="487" t="s">
        <v>337</v>
      </c>
      <c r="AZ715" s="487" t="e">
        <f>+VLOOKUP($AJ715,Data_Validation!$A:$E,5,0)</f>
        <v>#N/A</v>
      </c>
    </row>
    <row r="716" spans="1:52" ht="15" customHeight="1">
      <c r="A716" s="706" t="s">
        <v>1147</v>
      </c>
      <c r="B716" s="706">
        <v>2025</v>
      </c>
      <c r="C716" s="706" t="s">
        <v>2677</v>
      </c>
      <c r="D716" s="706" t="s">
        <v>2678</v>
      </c>
      <c r="E716" s="706" t="s">
        <v>1142</v>
      </c>
      <c r="F716" s="706" t="s">
        <v>1151</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G62100</v>
      </c>
      <c r="AK716" s="905" t="str">
        <f t="shared" si="67"/>
        <v>COUT-VOITURES INTERNE</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G62100</v>
      </c>
      <c r="AU716" s="488" t="str">
        <f t="shared" si="70"/>
        <v>COUT-VOITURES INTERNE</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customHeight="1">
      <c r="A717" s="706" t="s">
        <v>1147</v>
      </c>
      <c r="B717" s="706">
        <v>2025</v>
      </c>
      <c r="C717" s="706" t="s">
        <v>2679</v>
      </c>
      <c r="D717" s="706" t="s">
        <v>2680</v>
      </c>
      <c r="E717" s="706" t="s">
        <v>1142</v>
      </c>
      <c r="F717" s="706" t="s">
        <v>1151</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G62300</v>
      </c>
      <c r="AK717" s="905" t="str">
        <f t="shared" si="67"/>
        <v>COUT-VENTURE-UPLANDER</v>
      </c>
      <c r="AL717" s="905">
        <f>IFERROR(INDEX(G717:R717,1,MATCH(Parametres!$B$3,G$1:R$1,0)-1)*IF(OR(F717="L",F717="S",F717="I"),-1,1),"")</f>
        <v>0</v>
      </c>
      <c r="AM717" s="905">
        <f t="shared" si="68"/>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t="str">
        <f t="shared" si="69"/>
        <v>G62300</v>
      </c>
      <c r="AU717" s="488" t="str">
        <f t="shared" si="70"/>
        <v>COUT-VENTURE-UPLANDER</v>
      </c>
      <c r="AV717" s="899">
        <f>IFERROR(INDEX(V717:AG717,1,MATCH(Parametres!$B$3,V$1:AG$1,0)-1)*IF(OR(C717="L",C717="S",C717="I"),-1,1),"")</f>
        <v>0</v>
      </c>
      <c r="AW717" s="899">
        <f t="shared" si="71"/>
        <v>0</v>
      </c>
      <c r="AX717" s="899">
        <f>INDEX(V717:AG717,1,MATCH(Parametres!$B$3,V$1:AG$1,0))*IF(OR(C717="L",C717="S",C717="I"),-1,1)</f>
        <v>0</v>
      </c>
      <c r="AY717" s="487" t="s">
        <v>337</v>
      </c>
      <c r="AZ717" s="487" t="e">
        <f>+VLOOKUP($AJ717,Data_Validation!$A:$E,5,0)</f>
        <v>#N/A</v>
      </c>
    </row>
    <row r="718" spans="1:52" ht="15" customHeight="1">
      <c r="A718" s="706" t="s">
        <v>1147</v>
      </c>
      <c r="B718" s="706">
        <v>2025</v>
      </c>
      <c r="C718" s="706" t="s">
        <v>2681</v>
      </c>
      <c r="D718" s="706" t="s">
        <v>2682</v>
      </c>
      <c r="E718" s="706" t="s">
        <v>1142</v>
      </c>
      <c r="F718" s="706" t="s">
        <v>1151</v>
      </c>
      <c r="G718" s="706">
        <v>0</v>
      </c>
      <c r="H718" s="706">
        <v>0</v>
      </c>
      <c r="I718" s="706">
        <v>0</v>
      </c>
      <c r="J718" s="706">
        <v>0</v>
      </c>
      <c r="K718" s="706">
        <v>0</v>
      </c>
      <c r="L718" s="706">
        <v>0</v>
      </c>
      <c r="M718" s="706">
        <v>0</v>
      </c>
      <c r="N718" s="706">
        <v>0</v>
      </c>
      <c r="O718" s="706">
        <v>0</v>
      </c>
      <c r="P718" s="706">
        <v>0</v>
      </c>
      <c r="Q718" s="706">
        <v>0</v>
      </c>
      <c r="R718" s="706">
        <v>0</v>
      </c>
      <c r="S718" s="706">
        <v>0</v>
      </c>
      <c r="T718" s="706">
        <v>0</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G62312</v>
      </c>
      <c r="AK718" s="905" t="str">
        <f t="shared" si="67"/>
        <v>COUT-KODIAK/TOPKICK 4/5</v>
      </c>
      <c r="AL718" s="905">
        <f>IFERROR(INDEX(G718:R718,1,MATCH(Parametres!$B$3,G$1:R$1,0)-1)*IF(OR(F718="L",F718="S",F718="I"),-1,1),"")</f>
        <v>0</v>
      </c>
      <c r="AM718" s="905">
        <f t="shared" si="68"/>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t="str">
        <f t="shared" si="69"/>
        <v>G62312</v>
      </c>
      <c r="AU718" s="488" t="str">
        <f t="shared" si="70"/>
        <v>COUT-KODIAK/TOPKICK 4/5</v>
      </c>
      <c r="AV718" s="899">
        <f>IFERROR(INDEX(V718:AG718,1,MATCH(Parametres!$B$3,V$1:AG$1,0)-1)*IF(OR(C718="L",C718="S",C718="I"),-1,1),"")</f>
        <v>0</v>
      </c>
      <c r="AW718" s="899">
        <f t="shared" si="71"/>
        <v>0</v>
      </c>
      <c r="AX718" s="899">
        <f>INDEX(V718:AG718,1,MATCH(Parametres!$B$3,V$1:AG$1,0))*IF(OR(C718="L",C718="S",C718="I"),-1,1)</f>
        <v>0</v>
      </c>
      <c r="AY718" s="487" t="s">
        <v>337</v>
      </c>
      <c r="AZ718" s="487" t="e">
        <f>+VLOOKUP($AJ718,Data_Validation!$A:$E,5,0)</f>
        <v>#N/A</v>
      </c>
    </row>
    <row r="719" spans="1:52" ht="15" customHeight="1">
      <c r="A719" s="706" t="s">
        <v>1147</v>
      </c>
      <c r="B719" s="706">
        <v>2025</v>
      </c>
      <c r="C719" s="706" t="s">
        <v>2683</v>
      </c>
      <c r="D719" s="706" t="s">
        <v>2684</v>
      </c>
      <c r="E719" s="706" t="s">
        <v>1142</v>
      </c>
      <c r="F719" s="706" t="s">
        <v>1151</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G62320</v>
      </c>
      <c r="AK719" s="905" t="str">
        <f t="shared" si="67"/>
        <v>COUT-VENTURE-UPLAN   -LOC</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G62320</v>
      </c>
      <c r="AU719" s="488" t="str">
        <f t="shared" si="70"/>
        <v>COUT-VENTURE-UPLAN   -LOC</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hidden="1" customHeight="1">
      <c r="A720" s="706" t="s">
        <v>1147</v>
      </c>
      <c r="B720" s="706">
        <v>2025</v>
      </c>
      <c r="C720" s="706" t="s">
        <v>2685</v>
      </c>
      <c r="D720" s="706" t="s">
        <v>2686</v>
      </c>
      <c r="E720" s="706" t="s">
        <v>1142</v>
      </c>
      <c r="F720" s="706" t="s">
        <v>1151</v>
      </c>
      <c r="G720" s="706">
        <v>77580.850000000006</v>
      </c>
      <c r="H720" s="706">
        <v>155911.85</v>
      </c>
      <c r="I720" s="706">
        <v>279068.34000000003</v>
      </c>
      <c r="J720" s="706">
        <v>279068.34000000003</v>
      </c>
      <c r="K720" s="706">
        <v>279868.21999999997</v>
      </c>
      <c r="L720" s="706">
        <v>457680.33</v>
      </c>
      <c r="M720" s="706">
        <v>507759.87</v>
      </c>
      <c r="N720" s="706">
        <v>554604.89</v>
      </c>
      <c r="O720" s="706">
        <v>645444.44999999995</v>
      </c>
      <c r="P720" s="706">
        <v>645444.44999999995</v>
      </c>
      <c r="Q720" s="706">
        <v>731852.01</v>
      </c>
      <c r="R720" s="706">
        <v>731852.01</v>
      </c>
      <c r="S720" s="706">
        <v>66532</v>
      </c>
      <c r="T720" s="706">
        <v>66532</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G62400</v>
      </c>
      <c r="AK720" s="905" t="str">
        <f t="shared" si="67"/>
        <v>COUT-TERRAIN</v>
      </c>
      <c r="AL720" s="905">
        <f>IFERROR(INDEX(G720:R720,1,MATCH(Parametres!$B$3,G$1:R$1,0)-1)*IF(OR(F720="L",F720="S",F720="I"),-1,1),"")</f>
        <v>731852.01</v>
      </c>
      <c r="AM720" s="905">
        <f t="shared" si="68"/>
        <v>0</v>
      </c>
      <c r="AN720" s="905">
        <f>INDEX(G720:R720,1,MATCH(Parametres!$B$3,G$1:R$1,0))*IF(OR(F720="L",F720="S",F720="I"),-1,1)</f>
        <v>731852.01</v>
      </c>
      <c r="AO720" s="487" t="str">
        <f>+VLOOKUP($AJ720,Data_Validation!$A:$D,1,0)</f>
        <v>G62400</v>
      </c>
      <c r="AP720" s="487" t="str">
        <f>+VLOOKUP($AJ720,Data_Validation!$A:$D,3,0)</f>
        <v>Véhicules neufs</v>
      </c>
      <c r="AQ720" s="487" t="str">
        <f>+VLOOKUP($AJ720,Data_Validation!$A:$D,4,0)</f>
        <v>Camions détail</v>
      </c>
      <c r="AR720" s="487" t="s">
        <v>299</v>
      </c>
      <c r="AS720" s="487">
        <f>+VLOOKUP($AJ720,Data_Validation!$A:$E,5,0)</f>
        <v>0</v>
      </c>
      <c r="AT720" s="904" t="str">
        <f t="shared" si="69"/>
        <v>G62400</v>
      </c>
      <c r="AU720" s="488" t="str">
        <f t="shared" si="70"/>
        <v>COUT-TERRAIN</v>
      </c>
      <c r="AV720" s="899">
        <f>IFERROR(INDEX(V720:AG720,1,MATCH(Parametres!$B$3,V$1:AG$1,0)-1)*IF(OR(C720="L",C720="S",C720="I"),-1,1),"")</f>
        <v>0</v>
      </c>
      <c r="AW720" s="899">
        <f t="shared" si="71"/>
        <v>0</v>
      </c>
      <c r="AX720" s="899">
        <f>INDEX(V720:AG720,1,MATCH(Parametres!$B$3,V$1:AG$1,0))*IF(OR(C720="L",C720="S",C720="I"),-1,1)</f>
        <v>0</v>
      </c>
      <c r="AY720" s="487" t="s">
        <v>337</v>
      </c>
      <c r="AZ720" s="487">
        <f>+VLOOKUP($AJ720,Data_Validation!$A:$E,5,0)</f>
        <v>0</v>
      </c>
    </row>
    <row r="721" spans="1:52" ht="15" hidden="1" customHeight="1">
      <c r="A721" s="706" t="s">
        <v>1147</v>
      </c>
      <c r="B721" s="706">
        <v>2025</v>
      </c>
      <c r="C721" s="706" t="s">
        <v>2687</v>
      </c>
      <c r="D721" s="706" t="s">
        <v>2688</v>
      </c>
      <c r="E721" s="706" t="s">
        <v>1142</v>
      </c>
      <c r="F721" s="706" t="s">
        <v>1151</v>
      </c>
      <c r="G721" s="706">
        <v>0</v>
      </c>
      <c r="H721" s="706">
        <v>0</v>
      </c>
      <c r="I721" s="706">
        <v>0</v>
      </c>
      <c r="J721" s="706">
        <v>0</v>
      </c>
      <c r="K721" s="706">
        <v>0</v>
      </c>
      <c r="L721" s="706">
        <v>0</v>
      </c>
      <c r="M721" s="706">
        <v>0</v>
      </c>
      <c r="N721" s="706">
        <v>0</v>
      </c>
      <c r="O721" s="706">
        <v>0</v>
      </c>
      <c r="P721" s="706">
        <v>0</v>
      </c>
      <c r="Q721" s="706">
        <v>0</v>
      </c>
      <c r="R721" s="706">
        <v>0</v>
      </c>
      <c r="S721" s="706">
        <v>0</v>
      </c>
      <c r="T721" s="706">
        <v>0</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G62401</v>
      </c>
      <c r="AK721" s="905" t="str">
        <f t="shared" si="67"/>
        <v>COUT BOLT EUV</v>
      </c>
      <c r="AL721" s="905">
        <f>IFERROR(INDEX(G721:R721,1,MATCH(Parametres!$B$3,G$1:R$1,0)-1)*IF(OR(F721="L",F721="S",F721="I"),-1,1),"")</f>
        <v>0</v>
      </c>
      <c r="AM721" s="905">
        <f t="shared" si="68"/>
        <v>0</v>
      </c>
      <c r="AN721" s="905">
        <f>INDEX(G721:R721,1,MATCH(Parametres!$B$3,G$1:R$1,0))*IF(OR(F721="L",F721="S",F721="I"),-1,1)</f>
        <v>0</v>
      </c>
      <c r="AO721" s="487" t="str">
        <f>+VLOOKUP($AJ721,Data_Validation!$A:$D,1,0)</f>
        <v>G62401</v>
      </c>
      <c r="AP721" s="487" t="str">
        <f>+VLOOKUP($AJ721,Data_Validation!$A:$D,3,0)</f>
        <v>Véhicules neufs</v>
      </c>
      <c r="AQ721" s="487" t="str">
        <f>+VLOOKUP($AJ721,Data_Validation!$A:$D,4,0)</f>
        <v>Camions electriques</v>
      </c>
      <c r="AR721" s="487" t="s">
        <v>299</v>
      </c>
      <c r="AS721" s="487">
        <f>+VLOOKUP($AJ721,Data_Validation!$A:$E,5,0)</f>
        <v>0</v>
      </c>
      <c r="AT721" s="904" t="str">
        <f t="shared" si="69"/>
        <v>G62401</v>
      </c>
      <c r="AU721" s="488" t="str">
        <f t="shared" si="70"/>
        <v>COUT BOLT EUV</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customHeight="1">
      <c r="A722" s="706" t="s">
        <v>1147</v>
      </c>
      <c r="B722" s="706">
        <v>2025</v>
      </c>
      <c r="C722" s="706" t="s">
        <v>2689</v>
      </c>
      <c r="D722" s="706" t="s">
        <v>2690</v>
      </c>
      <c r="E722" s="706" t="s">
        <v>1142</v>
      </c>
      <c r="F722" s="706" t="s">
        <v>1151</v>
      </c>
      <c r="G722" s="706">
        <v>0</v>
      </c>
      <c r="H722" s="706">
        <v>0</v>
      </c>
      <c r="I722" s="706">
        <v>0</v>
      </c>
      <c r="J722" s="706">
        <v>0</v>
      </c>
      <c r="K722" s="706">
        <v>0</v>
      </c>
      <c r="L722" s="706">
        <v>0</v>
      </c>
      <c r="M722" s="706">
        <v>0</v>
      </c>
      <c r="N722" s="706">
        <v>0</v>
      </c>
      <c r="O722" s="706">
        <v>0</v>
      </c>
      <c r="P722" s="706">
        <v>0</v>
      </c>
      <c r="Q722" s="706">
        <v>0</v>
      </c>
      <c r="R722" s="706">
        <v>0</v>
      </c>
      <c r="S722" s="706">
        <v>0</v>
      </c>
      <c r="T722" s="706">
        <v>0</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G62412</v>
      </c>
      <c r="AK722" s="905" t="str">
        <f t="shared" si="67"/>
        <v>COUT-TOPKICK 6/7/8 C</v>
      </c>
      <c r="AL722" s="905">
        <f>IFERROR(INDEX(G722:R722,1,MATCH(Parametres!$B$3,G$1:R$1,0)-1)*IF(OR(F722="L",F722="S",F722="I"),-1,1),"")</f>
        <v>0</v>
      </c>
      <c r="AM722" s="905">
        <f t="shared" si="68"/>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t="str">
        <f t="shared" si="69"/>
        <v>G62412</v>
      </c>
      <c r="AU722" s="488" t="str">
        <f t="shared" si="70"/>
        <v>COUT-TOPKICK 6/7/8 C</v>
      </c>
      <c r="AV722" s="899">
        <f>IFERROR(INDEX(V722:AG722,1,MATCH(Parametres!$B$3,V$1:AG$1,0)-1)*IF(OR(C722="L",C722="S",C722="I"),-1,1),"")</f>
        <v>0</v>
      </c>
      <c r="AW722" s="899">
        <f t="shared" si="71"/>
        <v>0</v>
      </c>
      <c r="AX722" s="899">
        <f>INDEX(V722:AG722,1,MATCH(Parametres!$B$3,V$1:AG$1,0))*IF(OR(C722="L",C722="S",C722="I"),-1,1)</f>
        <v>0</v>
      </c>
      <c r="AY722" s="487" t="s">
        <v>337</v>
      </c>
      <c r="AZ722" s="487" t="e">
        <f>+VLOOKUP($AJ722,Data_Validation!$A:$E,5,0)</f>
        <v>#N/A</v>
      </c>
    </row>
    <row r="723" spans="1:52" ht="15" hidden="1" customHeight="1">
      <c r="A723" s="706" t="s">
        <v>1147</v>
      </c>
      <c r="B723" s="706">
        <v>2025</v>
      </c>
      <c r="C723" s="706" t="s">
        <v>2691</v>
      </c>
      <c r="D723" s="706" t="s">
        <v>2692</v>
      </c>
      <c r="E723" s="706" t="s">
        <v>1142</v>
      </c>
      <c r="F723" s="706" t="s">
        <v>1151</v>
      </c>
      <c r="G723" s="706">
        <v>0</v>
      </c>
      <c r="H723" s="706">
        <v>0</v>
      </c>
      <c r="I723" s="706">
        <v>0</v>
      </c>
      <c r="J723" s="706">
        <v>0</v>
      </c>
      <c r="K723" s="706">
        <v>0</v>
      </c>
      <c r="L723" s="706">
        <v>0</v>
      </c>
      <c r="M723" s="706">
        <v>0</v>
      </c>
      <c r="N723" s="706">
        <v>0</v>
      </c>
      <c r="O723" s="706">
        <v>0</v>
      </c>
      <c r="P723" s="706">
        <v>0</v>
      </c>
      <c r="Q723" s="706">
        <v>0</v>
      </c>
      <c r="R723" s="706">
        <v>0</v>
      </c>
      <c r="S723" s="706">
        <v>0</v>
      </c>
      <c r="T723" s="706">
        <v>0</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G62500</v>
      </c>
      <c r="AK723" s="905" t="str">
        <f t="shared" ref="AK723:AK786" si="73">D723</f>
        <v>COUT-G EXPRESS</v>
      </c>
      <c r="AL723" s="905">
        <f>IFERROR(INDEX(G723:R723,1,MATCH(Parametres!$B$3,G$1:R$1,0)-1)*IF(OR(F723="L",F723="S",F723="I"),-1,1),"")</f>
        <v>0</v>
      </c>
      <c r="AM723" s="905">
        <f t="shared" si="68"/>
        <v>0</v>
      </c>
      <c r="AN723" s="905">
        <f>INDEX(G723:R723,1,MATCH(Parametres!$B$3,G$1:R$1,0))*IF(OR(F723="L",F723="S",F723="I"),-1,1)</f>
        <v>0</v>
      </c>
      <c r="AO723" s="487" t="str">
        <f>+VLOOKUP($AJ723,Data_Validation!$A:$D,1,0)</f>
        <v>G62500</v>
      </c>
      <c r="AP723" s="487" t="str">
        <f>+VLOOKUP($AJ723,Data_Validation!$A:$D,3,0)</f>
        <v>Véhicules neufs</v>
      </c>
      <c r="AQ723" s="487" t="str">
        <f>+VLOOKUP($AJ723,Data_Validation!$A:$D,4,0)</f>
        <v>Camions détail</v>
      </c>
      <c r="AR723" s="487" t="s">
        <v>299</v>
      </c>
      <c r="AS723" s="487">
        <f>+VLOOKUP($AJ723,Data_Validation!$A:$E,5,0)</f>
        <v>0</v>
      </c>
      <c r="AT723" s="904" t="str">
        <f t="shared" si="69"/>
        <v>G62500</v>
      </c>
      <c r="AU723" s="488" t="str">
        <f t="shared" si="70"/>
        <v>COUT-G EXPRESS</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1147</v>
      </c>
      <c r="B724" s="706">
        <v>2025</v>
      </c>
      <c r="C724" s="706" t="s">
        <v>2693</v>
      </c>
      <c r="D724" s="706" t="s">
        <v>2694</v>
      </c>
      <c r="E724" s="706" t="s">
        <v>1142</v>
      </c>
      <c r="F724" s="706" t="s">
        <v>1151</v>
      </c>
      <c r="G724" s="706">
        <v>0</v>
      </c>
      <c r="H724" s="706">
        <v>0</v>
      </c>
      <c r="I724" s="706">
        <v>0</v>
      </c>
      <c r="J724" s="706">
        <v>0</v>
      </c>
      <c r="K724" s="706">
        <v>0</v>
      </c>
      <c r="L724" s="706">
        <v>0</v>
      </c>
      <c r="M724" s="706">
        <v>0</v>
      </c>
      <c r="N724" s="706">
        <v>0</v>
      </c>
      <c r="O724" s="706">
        <v>0</v>
      </c>
      <c r="P724" s="706">
        <v>0</v>
      </c>
      <c r="Q724" s="706">
        <v>65566</v>
      </c>
      <c r="R724" s="706">
        <v>65566</v>
      </c>
      <c r="S724" s="706">
        <v>5960.55</v>
      </c>
      <c r="T724" s="706">
        <v>5960.55</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G62502</v>
      </c>
      <c r="AK724" s="905" t="str">
        <f t="shared" si="73"/>
        <v>COUTANT SAVANA</v>
      </c>
      <c r="AL724" s="905">
        <f>IFERROR(INDEX(G724:R724,1,MATCH(Parametres!$B$3,G$1:R$1,0)-1)*IF(OR(F724="L",F724="S",F724="I"),-1,1),"")</f>
        <v>65566</v>
      </c>
      <c r="AM724" s="905">
        <f t="shared" si="68"/>
        <v>0</v>
      </c>
      <c r="AN724" s="905">
        <f>INDEX(G724:R724,1,MATCH(Parametres!$B$3,G$1:R$1,0))*IF(OR(F724="L",F724="S",F724="I"),-1,1)</f>
        <v>65566</v>
      </c>
      <c r="AO724" s="487" t="str">
        <f>+VLOOKUP($AJ724,Data_Validation!$A:$D,1,0)</f>
        <v>G62502</v>
      </c>
      <c r="AP724" s="487" t="str">
        <f>+VLOOKUP($AJ724,Data_Validation!$A:$D,3,0)</f>
        <v>Véhicules neufs</v>
      </c>
      <c r="AQ724" s="487" t="str">
        <f>+VLOOKUP($AJ724,Data_Validation!$A:$D,4,0)</f>
        <v>Camions electriques</v>
      </c>
      <c r="AR724" s="487" t="s">
        <v>299</v>
      </c>
      <c r="AS724" s="487">
        <f>+VLOOKUP($AJ724,Data_Validation!$A:$E,5,0)</f>
        <v>0</v>
      </c>
      <c r="AT724" s="904" t="str">
        <f t="shared" si="69"/>
        <v>G62502</v>
      </c>
      <c r="AU724" s="488" t="str">
        <f t="shared" si="70"/>
        <v>COUTANT SAVANA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1147</v>
      </c>
      <c r="B725" s="706">
        <v>2025</v>
      </c>
      <c r="C725" s="706" t="s">
        <v>2695</v>
      </c>
      <c r="D725" s="706" t="s">
        <v>2696</v>
      </c>
      <c r="E725" s="706" t="s">
        <v>1142</v>
      </c>
      <c r="F725" s="706" t="s">
        <v>1151</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G62512</v>
      </c>
      <c r="AK725" s="905" t="str">
        <f t="shared" si="73"/>
        <v>COUT-TOPKICK 6/7/8</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G62512</v>
      </c>
      <c r="AU725" s="488" t="str">
        <f t="shared" si="70"/>
        <v>COUT-TOPKICK 6/7/8</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customHeight="1">
      <c r="A726" s="706" t="s">
        <v>1147</v>
      </c>
      <c r="B726" s="706">
        <v>2025</v>
      </c>
      <c r="C726" s="706" t="s">
        <v>2697</v>
      </c>
      <c r="D726" s="706" t="s">
        <v>2698</v>
      </c>
      <c r="E726" s="706" t="s">
        <v>1142</v>
      </c>
      <c r="F726" s="706" t="s">
        <v>1151</v>
      </c>
      <c r="G726" s="706">
        <v>0</v>
      </c>
      <c r="H726" s="706">
        <v>0</v>
      </c>
      <c r="I726" s="706">
        <v>0</v>
      </c>
      <c r="J726" s="706">
        <v>0</v>
      </c>
      <c r="K726" s="706">
        <v>0</v>
      </c>
      <c r="L726" s="706">
        <v>0</v>
      </c>
      <c r="M726" s="706">
        <v>0</v>
      </c>
      <c r="N726" s="706">
        <v>0</v>
      </c>
      <c r="O726" s="706">
        <v>0</v>
      </c>
      <c r="P726" s="706">
        <v>0</v>
      </c>
      <c r="Q726" s="706">
        <v>0</v>
      </c>
      <c r="R726" s="706">
        <v>0</v>
      </c>
      <c r="S726" s="706">
        <v>0</v>
      </c>
      <c r="T726" s="706">
        <v>0</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G62520</v>
      </c>
      <c r="AK726" s="905" t="str">
        <f t="shared" si="73"/>
        <v>COUT-G EXPRESS       -LOC</v>
      </c>
      <c r="AL726" s="905">
        <f>IFERROR(INDEX(G726:R726,1,MATCH(Parametres!$B$3,G$1:R$1,0)-1)*IF(OR(F726="L",F726="S",F726="I"),-1,1),"")</f>
        <v>0</v>
      </c>
      <c r="AM726" s="905">
        <f t="shared" si="68"/>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t="str">
        <f t="shared" si="69"/>
        <v>G62520</v>
      </c>
      <c r="AU726" s="488" t="str">
        <f t="shared" si="70"/>
        <v>COUT-G EXPRESS       -LOC</v>
      </c>
      <c r="AV726" s="899">
        <f>IFERROR(INDEX(V726:AG726,1,MATCH(Parametres!$B$3,V$1:AG$1,0)-1)*IF(OR(C726="L",C726="S",C726="I"),-1,1),"")</f>
        <v>0</v>
      </c>
      <c r="AW726" s="899">
        <f t="shared" si="71"/>
        <v>0</v>
      </c>
      <c r="AX726" s="899">
        <f>INDEX(V726:AG726,1,MATCH(Parametres!$B$3,V$1:AG$1,0))*IF(OR(C726="L",C726="S",C726="I"),-1,1)</f>
        <v>0</v>
      </c>
      <c r="AY726" s="487" t="s">
        <v>337</v>
      </c>
      <c r="AZ726" s="487" t="e">
        <f>+VLOOKUP($AJ726,Data_Validation!$A:$E,5,0)</f>
        <v>#N/A</v>
      </c>
    </row>
    <row r="727" spans="1:52" ht="15" hidden="1" customHeight="1">
      <c r="A727" s="706" t="s">
        <v>1147</v>
      </c>
      <c r="B727" s="706">
        <v>2025</v>
      </c>
      <c r="C727" s="706" t="s">
        <v>2699</v>
      </c>
      <c r="D727" s="706" t="s">
        <v>2700</v>
      </c>
      <c r="E727" s="706" t="s">
        <v>1142</v>
      </c>
      <c r="F727" s="706" t="s">
        <v>1151</v>
      </c>
      <c r="G727" s="706">
        <v>0</v>
      </c>
      <c r="H727" s="706">
        <v>0</v>
      </c>
      <c r="I727" s="706">
        <v>122776.14</v>
      </c>
      <c r="J727" s="706">
        <v>174871.43</v>
      </c>
      <c r="K727" s="706">
        <v>234978.29</v>
      </c>
      <c r="L727" s="706">
        <v>414453.04</v>
      </c>
      <c r="M727" s="706">
        <v>470546.68</v>
      </c>
      <c r="N727" s="706">
        <v>522016.33</v>
      </c>
      <c r="O727" s="706">
        <v>574367.27</v>
      </c>
      <c r="P727" s="706">
        <v>644986.6</v>
      </c>
      <c r="Q727" s="706">
        <v>701545.57</v>
      </c>
      <c r="R727" s="706">
        <v>701545.57</v>
      </c>
      <c r="S727" s="706">
        <v>63776.87</v>
      </c>
      <c r="T727" s="706">
        <v>63776.87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G62600</v>
      </c>
      <c r="AK727" s="905" t="str">
        <f t="shared" si="73"/>
        <v>COUT-SPICKUP/COLORADO</v>
      </c>
      <c r="AL727" s="905">
        <f>IFERROR(INDEX(G727:R727,1,MATCH(Parametres!$B$3,G$1:R$1,0)-1)*IF(OR(F727="L",F727="S",F727="I"),-1,1),"")</f>
        <v>701545.57</v>
      </c>
      <c r="AM727" s="905">
        <f t="shared" si="68"/>
        <v>0</v>
      </c>
      <c r="AN727" s="905">
        <f>INDEX(G727:R727,1,MATCH(Parametres!$B$3,G$1:R$1,0))*IF(OR(F727="L",F727="S",F727="I"),-1,1)</f>
        <v>701545.57</v>
      </c>
      <c r="AO727" s="487" t="str">
        <f>+VLOOKUP($AJ727,Data_Validation!$A:$D,1,0)</f>
        <v>G62600</v>
      </c>
      <c r="AP727" s="487" t="str">
        <f>+VLOOKUP($AJ727,Data_Validation!$A:$D,3,0)</f>
        <v>Véhicules neufs</v>
      </c>
      <c r="AQ727" s="487" t="str">
        <f>+VLOOKUP($AJ727,Data_Validation!$A:$D,4,0)</f>
        <v>Camions détail</v>
      </c>
      <c r="AR727" s="487" t="s">
        <v>299</v>
      </c>
      <c r="AS727" s="487">
        <f>+VLOOKUP($AJ727,Data_Validation!$A:$E,5,0)</f>
        <v>0</v>
      </c>
      <c r="AT727" s="904" t="str">
        <f t="shared" si="69"/>
        <v>G62600</v>
      </c>
      <c r="AU727" s="488" t="str">
        <f t="shared" si="70"/>
        <v>COUT-SPICKUP/COLORADO</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1147</v>
      </c>
      <c r="B728" s="706">
        <v>2025</v>
      </c>
      <c r="C728" s="706" t="s">
        <v>2701</v>
      </c>
      <c r="D728" s="706" t="s">
        <v>2630</v>
      </c>
      <c r="E728" s="706" t="s">
        <v>1142</v>
      </c>
      <c r="F728" s="706" t="s">
        <v>1151</v>
      </c>
      <c r="G728" s="706">
        <v>104461.68</v>
      </c>
      <c r="H728" s="706">
        <v>104461.68</v>
      </c>
      <c r="I728" s="706">
        <v>158892.51</v>
      </c>
      <c r="J728" s="706">
        <v>158892.51</v>
      </c>
      <c r="K728" s="706">
        <v>213024.51</v>
      </c>
      <c r="L728" s="706">
        <v>267706.51</v>
      </c>
      <c r="M728" s="706">
        <v>377162.96</v>
      </c>
      <c r="N728" s="706">
        <v>433758.16</v>
      </c>
      <c r="O728" s="706">
        <v>493831.32</v>
      </c>
      <c r="P728" s="706">
        <v>493831.32</v>
      </c>
      <c r="Q728" s="706">
        <v>561687.65</v>
      </c>
      <c r="R728" s="706">
        <v>561687.65</v>
      </c>
      <c r="S728" s="706">
        <v>51062.51</v>
      </c>
      <c r="T728" s="706">
        <v>51062.51</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G62602</v>
      </c>
      <c r="AK728" s="905" t="str">
        <f t="shared" si="73"/>
        <v>COUT - GMC CANYON</v>
      </c>
      <c r="AL728" s="905">
        <f>IFERROR(INDEX(G728:R728,1,MATCH(Parametres!$B$3,G$1:R$1,0)-1)*IF(OR(F728="L",F728="S",F728="I"),-1,1),"")</f>
        <v>561687.65</v>
      </c>
      <c r="AM728" s="905">
        <f t="shared" si="68"/>
        <v>0</v>
      </c>
      <c r="AN728" s="905">
        <f>INDEX(G728:R728,1,MATCH(Parametres!$B$3,G$1:R$1,0))*IF(OR(F728="L",F728="S",F728="I"),-1,1)</f>
        <v>561687.65</v>
      </c>
      <c r="AO728" s="487" t="str">
        <f>+VLOOKUP($AJ728,Data_Validation!$A:$D,1,0)</f>
        <v>G62602</v>
      </c>
      <c r="AP728" s="487" t="str">
        <f>+VLOOKUP($AJ728,Data_Validation!$A:$D,3,0)</f>
        <v>Véhicules neufs</v>
      </c>
      <c r="AQ728" s="487" t="str">
        <f>+VLOOKUP($AJ728,Data_Validation!$A:$D,4,0)</f>
        <v>Camions détail</v>
      </c>
      <c r="AR728" s="487" t="s">
        <v>299</v>
      </c>
      <c r="AS728" s="487">
        <f>+VLOOKUP($AJ728,Data_Validation!$A:$E,5,0)</f>
        <v>0</v>
      </c>
      <c r="AT728" s="904" t="str">
        <f t="shared" si="69"/>
        <v>G62602</v>
      </c>
      <c r="AU728" s="488" t="str">
        <f t="shared" si="70"/>
        <v>COUT - GMC CANYON</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hidden="1" customHeight="1">
      <c r="A729" s="706" t="s">
        <v>1147</v>
      </c>
      <c r="B729" s="706">
        <v>2025</v>
      </c>
      <c r="C729" s="706" t="s">
        <v>2702</v>
      </c>
      <c r="D729" s="706" t="s">
        <v>2703</v>
      </c>
      <c r="E729" s="706" t="s">
        <v>1142</v>
      </c>
      <c r="F729" s="706" t="s">
        <v>1151</v>
      </c>
      <c r="G729" s="706">
        <v>0</v>
      </c>
      <c r="H729" s="706">
        <v>0</v>
      </c>
      <c r="I729" s="706">
        <v>169841.63</v>
      </c>
      <c r="J729" s="706">
        <v>214587.07</v>
      </c>
      <c r="K729" s="706">
        <v>306829.92</v>
      </c>
      <c r="L729" s="706">
        <v>306829.92</v>
      </c>
      <c r="M729" s="706">
        <v>306829.92</v>
      </c>
      <c r="N729" s="706">
        <v>356866.17</v>
      </c>
      <c r="O729" s="706">
        <v>406583.07</v>
      </c>
      <c r="P729" s="706">
        <v>459592.57</v>
      </c>
      <c r="Q729" s="706">
        <v>509958.33</v>
      </c>
      <c r="R729" s="706">
        <v>616348.07999999996</v>
      </c>
      <c r="S729" s="706">
        <v>46359.85</v>
      </c>
      <c r="T729" s="706">
        <v>46359.85</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G62612</v>
      </c>
      <c r="AK729" s="905" t="str">
        <f t="shared" si="73"/>
        <v>COUT-BUICK ENVISION</v>
      </c>
      <c r="AL729" s="905">
        <f>IFERROR(INDEX(G729:R729,1,MATCH(Parametres!$B$3,G$1:R$1,0)-1)*IF(OR(F729="L",F729="S",F729="I"),-1,1),"")</f>
        <v>509958.33</v>
      </c>
      <c r="AM729" s="905">
        <f t="shared" si="68"/>
        <v>106389.74999999994</v>
      </c>
      <c r="AN729" s="905">
        <f>INDEX(G729:R729,1,MATCH(Parametres!$B$3,G$1:R$1,0))*IF(OR(F729="L",F729="S",F729="I"),-1,1)</f>
        <v>616348.07999999996</v>
      </c>
      <c r="AO729" s="487" t="str">
        <f>+VLOOKUP($AJ729,Data_Validation!$A:$D,1,0)</f>
        <v>G62612</v>
      </c>
      <c r="AP729" s="487" t="str">
        <f>+VLOOKUP($AJ729,Data_Validation!$A:$D,3,0)</f>
        <v>Véhicules neufs</v>
      </c>
      <c r="AQ729" s="487" t="str">
        <f>+VLOOKUP($AJ729,Data_Validation!$A:$D,4,0)</f>
        <v>Camions détail</v>
      </c>
      <c r="AR729" s="487" t="s">
        <v>299</v>
      </c>
      <c r="AS729" s="487">
        <f>+VLOOKUP($AJ729,Data_Validation!$A:$E,5,0)</f>
        <v>0</v>
      </c>
      <c r="AT729" s="904" t="str">
        <f t="shared" si="69"/>
        <v>G62612</v>
      </c>
      <c r="AU729" s="488" t="str">
        <f t="shared" si="70"/>
        <v>COUT-BUICK ENVISION</v>
      </c>
      <c r="AV729" s="899">
        <f>IFERROR(INDEX(V729:AG729,1,MATCH(Parametres!$B$3,V$1:AG$1,0)-1)*IF(OR(C729="L",C729="S",C729="I"),-1,1),"")</f>
        <v>0</v>
      </c>
      <c r="AW729" s="899">
        <f t="shared" si="71"/>
        <v>0</v>
      </c>
      <c r="AX729" s="899">
        <f>INDEX(V729:AG729,1,MATCH(Parametres!$B$3,V$1:AG$1,0))*IF(OR(C729="L",C729="S",C729="I"),-1,1)</f>
        <v>0</v>
      </c>
      <c r="AY729" s="487" t="s">
        <v>337</v>
      </c>
      <c r="AZ729" s="487">
        <f>+VLOOKUP($AJ729,Data_Validation!$A:$E,5,0)</f>
        <v>0</v>
      </c>
    </row>
    <row r="730" spans="1:52" ht="15" hidden="1" customHeight="1">
      <c r="A730" s="706" t="s">
        <v>1147</v>
      </c>
      <c r="B730" s="706">
        <v>2025</v>
      </c>
      <c r="C730" s="706" t="s">
        <v>2704</v>
      </c>
      <c r="D730" s="706" t="s">
        <v>2705</v>
      </c>
      <c r="E730" s="706" t="s">
        <v>1142</v>
      </c>
      <c r="F730" s="706" t="s">
        <v>1151</v>
      </c>
      <c r="G730" s="706">
        <v>31955.040000000001</v>
      </c>
      <c r="H730" s="706">
        <v>64547.040000000001</v>
      </c>
      <c r="I730" s="706">
        <v>94623.28</v>
      </c>
      <c r="J730" s="706">
        <v>162071.6</v>
      </c>
      <c r="K730" s="706">
        <v>326858.71999999997</v>
      </c>
      <c r="L730" s="706">
        <v>326858.71999999997</v>
      </c>
      <c r="M730" s="706">
        <v>419389.04</v>
      </c>
      <c r="N730" s="706">
        <v>481836.04</v>
      </c>
      <c r="O730" s="706">
        <v>512296.54</v>
      </c>
      <c r="P730" s="706">
        <v>611875.81000000006</v>
      </c>
      <c r="Q730" s="706">
        <v>712987.96</v>
      </c>
      <c r="R730" s="706">
        <v>782141.61</v>
      </c>
      <c r="S730" s="706">
        <v>64817.09</v>
      </c>
      <c r="T730" s="706">
        <v>64817.09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G62613</v>
      </c>
      <c r="AK730" s="905" t="str">
        <f t="shared" si="73"/>
        <v>COUT-BUICK ENVISTA</v>
      </c>
      <c r="AL730" s="905">
        <f>IFERROR(INDEX(G730:R730,1,MATCH(Parametres!$B$3,G$1:R$1,0)-1)*IF(OR(F730="L",F730="S",F730="I"),-1,1),"")</f>
        <v>712987.96</v>
      </c>
      <c r="AM730" s="905">
        <f t="shared" si="68"/>
        <v>69153.650000000023</v>
      </c>
      <c r="AN730" s="905">
        <f>INDEX(G730:R730,1,MATCH(Parametres!$B$3,G$1:R$1,0))*IF(OR(F730="L",F730="S",F730="I"),-1,1)</f>
        <v>782141.61</v>
      </c>
      <c r="AO730" s="487" t="str">
        <f>+VLOOKUP($AJ730,Data_Validation!$A:$D,1,0)</f>
        <v>G62613</v>
      </c>
      <c r="AP730" s="487" t="str">
        <f>+VLOOKUP($AJ730,Data_Validation!$A:$D,3,0)</f>
        <v>Véhicules neufs</v>
      </c>
      <c r="AQ730" s="487" t="str">
        <f>+VLOOKUP($AJ730,Data_Validation!$A:$D,4,0)</f>
        <v>Camions détail</v>
      </c>
      <c r="AR730" s="487" t="s">
        <v>299</v>
      </c>
      <c r="AS730" s="487">
        <f>+VLOOKUP($AJ730,Data_Validation!$A:$E,5,0)</f>
        <v>0</v>
      </c>
      <c r="AT730" s="904" t="str">
        <f t="shared" si="69"/>
        <v>G62613</v>
      </c>
      <c r="AU730" s="488" t="str">
        <f t="shared" si="70"/>
        <v>COUT-BUICK ENVISTA</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customHeight="1">
      <c r="A731" s="706" t="s">
        <v>1147</v>
      </c>
      <c r="B731" s="706">
        <v>2025</v>
      </c>
      <c r="C731" s="706" t="s">
        <v>2706</v>
      </c>
      <c r="D731" s="706" t="s">
        <v>2707</v>
      </c>
      <c r="E731" s="706" t="s">
        <v>1142</v>
      </c>
      <c r="F731" s="706" t="s">
        <v>1151</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G62620</v>
      </c>
      <c r="AK731" s="905" t="str">
        <f t="shared" si="73"/>
        <v>COUT-SPICKUP/COLORADO-LOC</v>
      </c>
      <c r="AL731" s="905">
        <f>IFERROR(INDEX(G731:R731,1,MATCH(Parametres!$B$3,G$1:R$1,0)-1)*IF(OR(F731="L",F731="S",F731="I"),-1,1),"")</f>
        <v>0</v>
      </c>
      <c r="AM731" s="905">
        <f t="shared" si="68"/>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t="str">
        <f t="shared" si="69"/>
        <v>G62620</v>
      </c>
      <c r="AU731" s="488" t="str">
        <f t="shared" si="70"/>
        <v>COUT-SPICKUP/COLORADO-LOC</v>
      </c>
      <c r="AV731" s="899">
        <f>IFERROR(INDEX(V731:AG731,1,MATCH(Parametres!$B$3,V$1:AG$1,0)-1)*IF(OR(C731="L",C731="S",C731="I"),-1,1),"")</f>
        <v>0</v>
      </c>
      <c r="AW731" s="899">
        <f t="shared" si="71"/>
        <v>0</v>
      </c>
      <c r="AX731" s="899">
        <f>INDEX(V731:AG731,1,MATCH(Parametres!$B$3,V$1:AG$1,0))*IF(OR(C731="L",C731="S",C731="I"),-1,1)</f>
        <v>0</v>
      </c>
      <c r="AY731" s="487" t="s">
        <v>337</v>
      </c>
      <c r="AZ731" s="487" t="e">
        <f>+VLOOKUP($AJ731,Data_Validation!$A:$E,5,0)</f>
        <v>#N/A</v>
      </c>
    </row>
    <row r="732" spans="1:52" ht="15" hidden="1" customHeight="1">
      <c r="A732" s="706" t="s">
        <v>1147</v>
      </c>
      <c r="B732" s="706">
        <v>2025</v>
      </c>
      <c r="C732" s="706" t="s">
        <v>2708</v>
      </c>
      <c r="D732" s="706" t="s">
        <v>2709</v>
      </c>
      <c r="E732" s="706" t="s">
        <v>1142</v>
      </c>
      <c r="F732" s="706" t="s">
        <v>1151</v>
      </c>
      <c r="G732" s="706">
        <v>0</v>
      </c>
      <c r="H732" s="706">
        <v>57382.07</v>
      </c>
      <c r="I732" s="706">
        <v>112334.47</v>
      </c>
      <c r="J732" s="706">
        <v>112883.56</v>
      </c>
      <c r="K732" s="706">
        <v>112883.56</v>
      </c>
      <c r="L732" s="706">
        <v>112883.56</v>
      </c>
      <c r="M732" s="706">
        <v>173423.06</v>
      </c>
      <c r="N732" s="706">
        <v>227357.06</v>
      </c>
      <c r="O732" s="706">
        <v>286095.06</v>
      </c>
      <c r="P732" s="706">
        <v>286095.06</v>
      </c>
      <c r="Q732" s="706">
        <v>353795.06</v>
      </c>
      <c r="R732" s="706">
        <v>542027.15</v>
      </c>
      <c r="S732" s="706">
        <v>32163.19</v>
      </c>
      <c r="T732" s="706">
        <v>32163.19</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G62700</v>
      </c>
      <c r="AK732" s="905" t="str">
        <f t="shared" si="73"/>
        <v>COUT-TRAVERSE</v>
      </c>
      <c r="AL732" s="905">
        <f>IFERROR(INDEX(G732:R732,1,MATCH(Parametres!$B$3,G$1:R$1,0)-1)*IF(OR(F732="L",F732="S",F732="I"),-1,1),"")</f>
        <v>353795.06</v>
      </c>
      <c r="AM732" s="905">
        <f t="shared" si="68"/>
        <v>188232.09000000003</v>
      </c>
      <c r="AN732" s="905">
        <f>INDEX(G732:R732,1,MATCH(Parametres!$B$3,G$1:R$1,0))*IF(OR(F732="L",F732="S",F732="I"),-1,1)</f>
        <v>542027.15</v>
      </c>
      <c r="AO732" s="487" t="str">
        <f>+VLOOKUP($AJ732,Data_Validation!$A:$D,1,0)</f>
        <v>G62700</v>
      </c>
      <c r="AP732" s="487" t="str">
        <f>+VLOOKUP($AJ732,Data_Validation!$A:$D,3,0)</f>
        <v>Véhicules neufs</v>
      </c>
      <c r="AQ732" s="487" t="str">
        <f>+VLOOKUP($AJ732,Data_Validation!$A:$D,4,0)</f>
        <v>Camions détail</v>
      </c>
      <c r="AR732" s="487" t="s">
        <v>299</v>
      </c>
      <c r="AS732" s="487">
        <f>+VLOOKUP($AJ732,Data_Validation!$A:$E,5,0)</f>
        <v>0</v>
      </c>
      <c r="AT732" s="904" t="str">
        <f t="shared" si="69"/>
        <v>G62700</v>
      </c>
      <c r="AU732" s="488" t="str">
        <f t="shared" si="70"/>
        <v>COUT-TRAVERSE</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1147</v>
      </c>
      <c r="B733" s="706">
        <v>2025</v>
      </c>
      <c r="C733" s="706" t="s">
        <v>2710</v>
      </c>
      <c r="D733" s="706" t="s">
        <v>2711</v>
      </c>
      <c r="E733" s="706" t="s">
        <v>1142</v>
      </c>
      <c r="F733" s="706" t="s">
        <v>1151</v>
      </c>
      <c r="G733" s="706">
        <v>0</v>
      </c>
      <c r="H733" s="706">
        <v>0</v>
      </c>
      <c r="I733" s="706">
        <v>0</v>
      </c>
      <c r="J733" s="706">
        <v>63346.8</v>
      </c>
      <c r="K733" s="706">
        <v>63346.8</v>
      </c>
      <c r="L733" s="706">
        <v>63346.8</v>
      </c>
      <c r="M733" s="706">
        <v>63346.8</v>
      </c>
      <c r="N733" s="706">
        <v>126187.8</v>
      </c>
      <c r="O733" s="706">
        <v>126187.8</v>
      </c>
      <c r="P733" s="706">
        <v>198584</v>
      </c>
      <c r="Q733" s="706">
        <v>259236.72</v>
      </c>
      <c r="R733" s="706">
        <v>259236.72</v>
      </c>
      <c r="S733" s="706">
        <v>23566.97</v>
      </c>
      <c r="T733" s="706">
        <v>23566.97</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G62800</v>
      </c>
      <c r="AK733" s="905" t="str">
        <f t="shared" si="73"/>
        <v>COÛTANT BUICK ENCLAVE</v>
      </c>
      <c r="AL733" s="905">
        <f>IFERROR(INDEX(G733:R733,1,MATCH(Parametres!$B$3,G$1:R$1,0)-1)*IF(OR(F733="L",F733="S",F733="I"),-1,1),"")</f>
        <v>259236.72</v>
      </c>
      <c r="AM733" s="905">
        <f t="shared" si="68"/>
        <v>0</v>
      </c>
      <c r="AN733" s="905">
        <f>INDEX(G733:R733,1,MATCH(Parametres!$B$3,G$1:R$1,0))*IF(OR(F733="L",F733="S",F733="I"),-1,1)</f>
        <v>259236.72</v>
      </c>
      <c r="AO733" s="487" t="str">
        <f>+VLOOKUP($AJ733,Data_Validation!$A:$D,1,0)</f>
        <v>G62800</v>
      </c>
      <c r="AP733" s="487" t="str">
        <f>+VLOOKUP($AJ733,Data_Validation!$A:$D,3,0)</f>
        <v>Véhicules neufs</v>
      </c>
      <c r="AQ733" s="487" t="str">
        <f>+VLOOKUP($AJ733,Data_Validation!$A:$D,4,0)</f>
        <v>Camions détail</v>
      </c>
      <c r="AR733" s="487" t="s">
        <v>299</v>
      </c>
      <c r="AS733" s="487">
        <f>+VLOOKUP($AJ733,Data_Validation!$A:$E,5,0)</f>
        <v>0</v>
      </c>
      <c r="AT733" s="904" t="str">
        <f t="shared" si="69"/>
        <v>G62800</v>
      </c>
      <c r="AU733" s="488" t="str">
        <f t="shared" si="70"/>
        <v>COÛTANT BUICK ENCLAVE</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1147</v>
      </c>
      <c r="B734" s="706">
        <v>2025</v>
      </c>
      <c r="C734" s="706" t="s">
        <v>2712</v>
      </c>
      <c r="D734" s="706" t="s">
        <v>2713</v>
      </c>
      <c r="E734" s="706" t="s">
        <v>1142</v>
      </c>
      <c r="F734" s="706" t="s">
        <v>1151</v>
      </c>
      <c r="G734" s="706">
        <v>40461.35</v>
      </c>
      <c r="H734" s="706">
        <v>40461.35</v>
      </c>
      <c r="I734" s="706">
        <v>110323.53</v>
      </c>
      <c r="J734" s="706">
        <v>110323.53</v>
      </c>
      <c r="K734" s="706">
        <v>142877.76000000001</v>
      </c>
      <c r="L734" s="706">
        <v>142877.76000000001</v>
      </c>
      <c r="M734" s="706">
        <v>178683.68</v>
      </c>
      <c r="N734" s="706">
        <v>214914.46</v>
      </c>
      <c r="O734" s="706">
        <v>214914.46</v>
      </c>
      <c r="P734" s="706">
        <v>214914.46</v>
      </c>
      <c r="Q734" s="706">
        <v>254594.09</v>
      </c>
      <c r="R734" s="706">
        <v>365626.11</v>
      </c>
      <c r="S734" s="706">
        <v>23144.92</v>
      </c>
      <c r="T734" s="706">
        <v>23144.92</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G62804</v>
      </c>
      <c r="AK734" s="905" t="str">
        <f t="shared" si="73"/>
        <v>COUT BUICK ENCORE</v>
      </c>
      <c r="AL734" s="905">
        <f>IFERROR(INDEX(G734:R734,1,MATCH(Parametres!$B$3,G$1:R$1,0)-1)*IF(OR(F734="L",F734="S",F734="I"),-1,1),"")</f>
        <v>254594.09</v>
      </c>
      <c r="AM734" s="905">
        <f t="shared" si="68"/>
        <v>111032.01999999999</v>
      </c>
      <c r="AN734" s="905">
        <f>INDEX(G734:R734,1,MATCH(Parametres!$B$3,G$1:R$1,0))*IF(OR(F734="L",F734="S",F734="I"),-1,1)</f>
        <v>365626.11</v>
      </c>
      <c r="AO734" s="487" t="str">
        <f>+VLOOKUP($AJ734,Data_Validation!$A:$D,1,0)</f>
        <v>G62804</v>
      </c>
      <c r="AP734" s="487" t="str">
        <f>+VLOOKUP($AJ734,Data_Validation!$A:$D,3,0)</f>
        <v>Véhicules neufs</v>
      </c>
      <c r="AQ734" s="487" t="str">
        <f>+VLOOKUP($AJ734,Data_Validation!$A:$D,4,0)</f>
        <v>Camions détail</v>
      </c>
      <c r="AR734" s="487" t="s">
        <v>299</v>
      </c>
      <c r="AS734" s="487">
        <f>+VLOOKUP($AJ734,Data_Validation!$A:$E,5,0)</f>
        <v>0</v>
      </c>
      <c r="AT734" s="904" t="str">
        <f t="shared" si="69"/>
        <v>G62804</v>
      </c>
      <c r="AU734" s="488" t="str">
        <f t="shared" si="70"/>
        <v>COUT BUICK ENCORE</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1147</v>
      </c>
      <c r="B735" s="706">
        <v>2025</v>
      </c>
      <c r="C735" s="706" t="s">
        <v>2714</v>
      </c>
      <c r="D735" s="706" t="s">
        <v>2715</v>
      </c>
      <c r="E735" s="706" t="s">
        <v>1142</v>
      </c>
      <c r="F735" s="706" t="s">
        <v>1151</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G62820</v>
      </c>
      <c r="AK735" s="905" t="str">
        <f t="shared" si="73"/>
        <v>COUT-TRAIL BALZER    -LOC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G62820</v>
      </c>
      <c r="AU735" s="488" t="str">
        <f t="shared" si="70"/>
        <v>COUT-TRAIL BALZER    -LOC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1147</v>
      </c>
      <c r="B736" s="706">
        <v>2025</v>
      </c>
      <c r="C736" s="706" t="s">
        <v>2716</v>
      </c>
      <c r="D736" s="706" t="s">
        <v>2717</v>
      </c>
      <c r="E736" s="706" t="s">
        <v>1142</v>
      </c>
      <c r="F736" s="706" t="s">
        <v>1151</v>
      </c>
      <c r="G736" s="706">
        <v>117173.65</v>
      </c>
      <c r="H736" s="706">
        <v>117586.47</v>
      </c>
      <c r="I736" s="706">
        <v>179306.29</v>
      </c>
      <c r="J736" s="706">
        <v>299692.28999999998</v>
      </c>
      <c r="K736" s="706">
        <v>449773.68</v>
      </c>
      <c r="L736" s="706">
        <v>509598.68</v>
      </c>
      <c r="M736" s="706">
        <v>629220.31000000006</v>
      </c>
      <c r="N736" s="706">
        <v>977605.61</v>
      </c>
      <c r="O736" s="706">
        <v>1226274.25</v>
      </c>
      <c r="P736" s="706">
        <v>1509387.18</v>
      </c>
      <c r="Q736" s="706">
        <v>1741155.9</v>
      </c>
      <c r="R736" s="706">
        <v>1899563.04</v>
      </c>
      <c r="S736" s="706">
        <v>158286.9</v>
      </c>
      <c r="T736" s="706">
        <v>158286.9</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G62850</v>
      </c>
      <c r="AK736" s="905" t="str">
        <f t="shared" si="73"/>
        <v>COUTANT CHEVROLET TRAX</v>
      </c>
      <c r="AL736" s="905">
        <f>IFERROR(INDEX(G736:R736,1,MATCH(Parametres!$B$3,G$1:R$1,0)-1)*IF(OR(F736="L",F736="S",F736="I"),-1,1),"")</f>
        <v>1741155.9</v>
      </c>
      <c r="AM736" s="905">
        <f t="shared" si="68"/>
        <v>158407.14000000013</v>
      </c>
      <c r="AN736" s="905">
        <f>INDEX(G736:R736,1,MATCH(Parametres!$B$3,G$1:R$1,0))*IF(OR(F736="L",F736="S",F736="I"),-1,1)</f>
        <v>1899563.04</v>
      </c>
      <c r="AO736" s="487" t="str">
        <f>+VLOOKUP($AJ736,Data_Validation!$A:$D,1,0)</f>
        <v>G62850</v>
      </c>
      <c r="AP736" s="487" t="str">
        <f>+VLOOKUP($AJ736,Data_Validation!$A:$D,3,0)</f>
        <v>Véhicules neufs</v>
      </c>
      <c r="AQ736" s="487" t="str">
        <f>+VLOOKUP($AJ736,Data_Validation!$A:$D,4,0)</f>
        <v>Camions détail</v>
      </c>
      <c r="AR736" s="487" t="s">
        <v>299</v>
      </c>
      <c r="AS736" s="487">
        <f>+VLOOKUP($AJ736,Data_Validation!$A:$E,5,0)</f>
        <v>0</v>
      </c>
      <c r="AT736" s="904" t="str">
        <f t="shared" si="69"/>
        <v>G62850</v>
      </c>
      <c r="AU736" s="488" t="str">
        <f t="shared" si="70"/>
        <v>COUTANT CHEVROLET TRAX</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1147</v>
      </c>
      <c r="B737" s="706">
        <v>2025</v>
      </c>
      <c r="C737" s="706" t="s">
        <v>2718</v>
      </c>
      <c r="D737" s="706" t="s">
        <v>2719</v>
      </c>
      <c r="E737" s="706" t="s">
        <v>1142</v>
      </c>
      <c r="F737" s="706" t="s">
        <v>1151</v>
      </c>
      <c r="G737" s="706">
        <v>94299.5</v>
      </c>
      <c r="H737" s="706">
        <v>455643.34</v>
      </c>
      <c r="I737" s="706">
        <v>581277.34</v>
      </c>
      <c r="J737" s="706">
        <v>581277.34</v>
      </c>
      <c r="K737" s="706">
        <v>943975.48</v>
      </c>
      <c r="L737" s="706">
        <v>1200166.6200000001</v>
      </c>
      <c r="M737" s="706">
        <v>1379033.86</v>
      </c>
      <c r="N737" s="706">
        <v>1465583.86</v>
      </c>
      <c r="O737" s="706">
        <v>1543069.36</v>
      </c>
      <c r="P737" s="706">
        <v>1817552.91</v>
      </c>
      <c r="Q737" s="706">
        <v>2093427.67</v>
      </c>
      <c r="R737" s="706">
        <v>2192241.16</v>
      </c>
      <c r="S737" s="706">
        <v>190311.61</v>
      </c>
      <c r="T737" s="706">
        <v>190311.61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G62900</v>
      </c>
      <c r="AK737" s="905" t="str">
        <f t="shared" si="73"/>
        <v>COUT-TAHOE/SUBURBAN</v>
      </c>
      <c r="AL737" s="905">
        <f>IFERROR(INDEX(G737:R737,1,MATCH(Parametres!$B$3,G$1:R$1,0)-1)*IF(OR(F737="L",F737="S",F737="I"),-1,1),"")</f>
        <v>2093427.67</v>
      </c>
      <c r="AM737" s="905">
        <f t="shared" si="68"/>
        <v>98813.490000000224</v>
      </c>
      <c r="AN737" s="905">
        <f>INDEX(G737:R737,1,MATCH(Parametres!$B$3,G$1:R$1,0))*IF(OR(F737="L",F737="S",F737="I"),-1,1)</f>
        <v>2192241.16</v>
      </c>
      <c r="AO737" s="487" t="str">
        <f>+VLOOKUP($AJ737,Data_Validation!$A:$D,1,0)</f>
        <v>G62900</v>
      </c>
      <c r="AP737" s="487" t="str">
        <f>+VLOOKUP($AJ737,Data_Validation!$A:$D,3,0)</f>
        <v>Véhicules neufs</v>
      </c>
      <c r="AQ737" s="487" t="str">
        <f>+VLOOKUP($AJ737,Data_Validation!$A:$D,4,0)</f>
        <v>Camions détail</v>
      </c>
      <c r="AR737" s="487" t="s">
        <v>299</v>
      </c>
      <c r="AS737" s="487">
        <f>+VLOOKUP($AJ737,Data_Validation!$A:$E,5,0)</f>
        <v>0</v>
      </c>
      <c r="AT737" s="904" t="str">
        <f t="shared" si="69"/>
        <v>G62900</v>
      </c>
      <c r="AU737" s="488" t="str">
        <f t="shared" si="70"/>
        <v>COUT-TAHOE/SUBURBAN</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1147</v>
      </c>
      <c r="B738" s="706">
        <v>2025</v>
      </c>
      <c r="C738" s="706" t="s">
        <v>2720</v>
      </c>
      <c r="D738" s="706" t="s">
        <v>2721</v>
      </c>
      <c r="E738" s="706" t="s">
        <v>1142</v>
      </c>
      <c r="F738" s="706" t="s">
        <v>1151</v>
      </c>
      <c r="G738" s="706">
        <v>278511.09000000003</v>
      </c>
      <c r="H738" s="706">
        <v>1102697.24</v>
      </c>
      <c r="I738" s="706">
        <v>1728103.15</v>
      </c>
      <c r="J738" s="706">
        <v>2573904.5699999998</v>
      </c>
      <c r="K738" s="706">
        <v>3151795.92</v>
      </c>
      <c r="L738" s="706">
        <v>4139513.37</v>
      </c>
      <c r="M738" s="706">
        <v>5110297.5599999996</v>
      </c>
      <c r="N738" s="706">
        <v>6405579.96</v>
      </c>
      <c r="O738" s="706">
        <v>6899826.4199999999</v>
      </c>
      <c r="P738" s="706">
        <v>7252665.4000000004</v>
      </c>
      <c r="Q738" s="706">
        <v>7485075.6200000001</v>
      </c>
      <c r="R738" s="706">
        <v>8188924.3300000001</v>
      </c>
      <c r="S738" s="706">
        <v>680461.42</v>
      </c>
      <c r="T738" s="706">
        <v>680461.42</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G63000</v>
      </c>
      <c r="AK738" s="905" t="str">
        <f t="shared" si="73"/>
        <v>COUT-CL 1500 SILVERADO</v>
      </c>
      <c r="AL738" s="905">
        <f>IFERROR(INDEX(G738:R738,1,MATCH(Parametres!$B$3,G$1:R$1,0)-1)*IF(OR(F738="L",F738="S",F738="I"),-1,1),"")</f>
        <v>7485075.6200000001</v>
      </c>
      <c r="AM738" s="905">
        <f t="shared" si="68"/>
        <v>703848.71</v>
      </c>
      <c r="AN738" s="905">
        <f>INDEX(G738:R738,1,MATCH(Parametres!$B$3,G$1:R$1,0))*IF(OR(F738="L",F738="S",F738="I"),-1,1)</f>
        <v>8188924.3300000001</v>
      </c>
      <c r="AO738" s="487" t="str">
        <f>+VLOOKUP($AJ738,Data_Validation!$A:$D,1,0)</f>
        <v>G63000</v>
      </c>
      <c r="AP738" s="487" t="str">
        <f>+VLOOKUP($AJ738,Data_Validation!$A:$D,3,0)</f>
        <v>Véhicules neufs</v>
      </c>
      <c r="AQ738" s="487" t="str">
        <f>+VLOOKUP($AJ738,Data_Validation!$A:$D,4,0)</f>
        <v>Camions détail</v>
      </c>
      <c r="AR738" s="487" t="s">
        <v>299</v>
      </c>
      <c r="AS738" s="487">
        <f>+VLOOKUP($AJ738,Data_Validation!$A:$E,5,0)</f>
        <v>0</v>
      </c>
      <c r="AT738" s="904" t="str">
        <f t="shared" si="69"/>
        <v>G63000</v>
      </c>
      <c r="AU738" s="488" t="str">
        <f t="shared" si="70"/>
        <v>COUT-CL 1500 SILVERADO</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hidden="1" customHeight="1">
      <c r="A739" s="706" t="s">
        <v>1147</v>
      </c>
      <c r="B739" s="706">
        <v>2025</v>
      </c>
      <c r="C739" s="706" t="s">
        <v>2722</v>
      </c>
      <c r="D739" s="706" t="s">
        <v>2723</v>
      </c>
      <c r="E739" s="706" t="s">
        <v>1142</v>
      </c>
      <c r="F739" s="706" t="s">
        <v>1151</v>
      </c>
      <c r="G739" s="706">
        <v>113294.8</v>
      </c>
      <c r="H739" s="706">
        <v>113294.8</v>
      </c>
      <c r="I739" s="706">
        <v>113294.8</v>
      </c>
      <c r="J739" s="706">
        <v>196692.31</v>
      </c>
      <c r="K739" s="706">
        <v>303157.34999999998</v>
      </c>
      <c r="L739" s="706">
        <v>303157.34999999998</v>
      </c>
      <c r="M739" s="706">
        <v>303157.34999999998</v>
      </c>
      <c r="N739" s="706">
        <v>303157.34999999998</v>
      </c>
      <c r="O739" s="706">
        <v>512599.45</v>
      </c>
      <c r="P739" s="706">
        <v>732036.05</v>
      </c>
      <c r="Q739" s="706">
        <v>838782.6</v>
      </c>
      <c r="R739" s="706">
        <v>838782.6</v>
      </c>
      <c r="S739" s="706">
        <v>76252.960000000006</v>
      </c>
      <c r="T739" s="706">
        <v>76252.960000000006</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G63001</v>
      </c>
      <c r="AK739" s="905" t="str">
        <f t="shared" si="73"/>
        <v>COUT - SILVERADO EV</v>
      </c>
      <c r="AL739" s="905">
        <f>IFERROR(INDEX(G739:R739,1,MATCH(Parametres!$B$3,G$1:R$1,0)-1)*IF(OR(F739="L",F739="S",F739="I"),-1,1),"")</f>
        <v>838782.6</v>
      </c>
      <c r="AM739" s="905">
        <f t="shared" si="68"/>
        <v>0</v>
      </c>
      <c r="AN739" s="905">
        <f>INDEX(G739:R739,1,MATCH(Parametres!$B$3,G$1:R$1,0))*IF(OR(F739="L",F739="S",F739="I"),-1,1)</f>
        <v>838782.6</v>
      </c>
      <c r="AO739" s="487" t="str">
        <f>+VLOOKUP($AJ739,Data_Validation!$A:$D,1,0)</f>
        <v>G63001</v>
      </c>
      <c r="AP739" s="487" t="str">
        <f>+VLOOKUP($AJ739,Data_Validation!$A:$D,3,0)</f>
        <v>Véhicules neufs</v>
      </c>
      <c r="AQ739" s="487" t="str">
        <f>+VLOOKUP($AJ739,Data_Validation!$A:$D,4,0)</f>
        <v>Camions electriques</v>
      </c>
      <c r="AR739" s="487" t="s">
        <v>299</v>
      </c>
      <c r="AS739" s="487">
        <f>+VLOOKUP($AJ739,Data_Validation!$A:$E,5,0)</f>
        <v>0</v>
      </c>
      <c r="AT739" s="904" t="str">
        <f t="shared" si="69"/>
        <v>G63001</v>
      </c>
      <c r="AU739" s="488" t="str">
        <f t="shared" si="70"/>
        <v>COUT - SILVERADO EV</v>
      </c>
      <c r="AV739" s="899">
        <f>IFERROR(INDEX(V739:AG739,1,MATCH(Parametres!$B$3,V$1:AG$1,0)-1)*IF(OR(C739="L",C739="S",C739="I"),-1,1),"")</f>
        <v>0</v>
      </c>
      <c r="AW739" s="899">
        <f t="shared" si="71"/>
        <v>0</v>
      </c>
      <c r="AX739" s="899">
        <f>INDEX(V739:AG739,1,MATCH(Parametres!$B$3,V$1:AG$1,0))*IF(OR(C739="L",C739="S",C739="I"),-1,1)</f>
        <v>0</v>
      </c>
      <c r="AY739" s="487" t="s">
        <v>337</v>
      </c>
      <c r="AZ739" s="487">
        <f>+VLOOKUP($AJ739,Data_Validation!$A:$E,5,0)</f>
        <v>0</v>
      </c>
    </row>
    <row r="740" spans="1:52" ht="15" hidden="1" customHeight="1">
      <c r="A740" s="706" t="s">
        <v>1147</v>
      </c>
      <c r="B740" s="706">
        <v>2025</v>
      </c>
      <c r="C740" s="706" t="s">
        <v>2724</v>
      </c>
      <c r="D740" s="706" t="s">
        <v>2725</v>
      </c>
      <c r="E740" s="706" t="s">
        <v>1142</v>
      </c>
      <c r="F740" s="706" t="s">
        <v>1151</v>
      </c>
      <c r="G740" s="706">
        <v>0</v>
      </c>
      <c r="H740" s="706">
        <v>271713.34999999998</v>
      </c>
      <c r="I740" s="706">
        <v>675718.45</v>
      </c>
      <c r="J740" s="706">
        <v>974521.42</v>
      </c>
      <c r="K740" s="706">
        <v>974521.42</v>
      </c>
      <c r="L740" s="706">
        <v>1077278.3700000001</v>
      </c>
      <c r="M740" s="706">
        <v>1272360.19</v>
      </c>
      <c r="N740" s="706">
        <v>1577240.41</v>
      </c>
      <c r="O740" s="706">
        <v>1788693.64</v>
      </c>
      <c r="P740" s="706">
        <v>2194503.4700000002</v>
      </c>
      <c r="Q740" s="706">
        <v>2312063.58</v>
      </c>
      <c r="R740" s="706">
        <v>2555114.3199999998</v>
      </c>
      <c r="S740" s="706">
        <v>210187.6</v>
      </c>
      <c r="T740" s="706">
        <v>210187.6</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G63002</v>
      </c>
      <c r="AK740" s="905" t="str">
        <f t="shared" si="73"/>
        <v>COUT - YUKON</v>
      </c>
      <c r="AL740" s="905">
        <f>IFERROR(INDEX(G740:R740,1,MATCH(Parametres!$B$3,G$1:R$1,0)-1)*IF(OR(F740="L",F740="S",F740="I"),-1,1),"")</f>
        <v>2312063.58</v>
      </c>
      <c r="AM740" s="905">
        <f t="shared" si="68"/>
        <v>243050.73999999976</v>
      </c>
      <c r="AN740" s="905">
        <f>INDEX(G740:R740,1,MATCH(Parametres!$B$3,G$1:R$1,0))*IF(OR(F740="L",F740="S",F740="I"),-1,1)</f>
        <v>2555114.3199999998</v>
      </c>
      <c r="AO740" s="487" t="str">
        <f>+VLOOKUP($AJ740,Data_Validation!$A:$D,1,0)</f>
        <v>G63002</v>
      </c>
      <c r="AP740" s="487" t="str">
        <f>+VLOOKUP($AJ740,Data_Validation!$A:$D,3,0)</f>
        <v>Véhicules neufs</v>
      </c>
      <c r="AQ740" s="487" t="str">
        <f>+VLOOKUP($AJ740,Data_Validation!$A:$D,4,0)</f>
        <v>Camions détail</v>
      </c>
      <c r="AR740" s="487" t="s">
        <v>299</v>
      </c>
      <c r="AS740" s="487">
        <f>+VLOOKUP($AJ740,Data_Validation!$A:$E,5,0)</f>
        <v>0</v>
      </c>
      <c r="AT740" s="904" t="str">
        <f t="shared" si="69"/>
        <v>G63002</v>
      </c>
      <c r="AU740" s="488" t="str">
        <f t="shared" si="70"/>
        <v>COUT - YUKON</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customHeight="1">
      <c r="A741" s="706" t="s">
        <v>1147</v>
      </c>
      <c r="B741" s="706">
        <v>2025</v>
      </c>
      <c r="C741" s="706" t="s">
        <v>2726</v>
      </c>
      <c r="D741" s="706" t="s">
        <v>2727</v>
      </c>
      <c r="E741" s="706" t="s">
        <v>1142</v>
      </c>
      <c r="F741" s="706" t="s">
        <v>1151</v>
      </c>
      <c r="G741" s="706">
        <v>0</v>
      </c>
      <c r="H741" s="706">
        <v>0</v>
      </c>
      <c r="I741" s="706">
        <v>0</v>
      </c>
      <c r="J741" s="706">
        <v>0</v>
      </c>
      <c r="K741" s="706">
        <v>0</v>
      </c>
      <c r="L741" s="706">
        <v>0</v>
      </c>
      <c r="M741" s="706">
        <v>0</v>
      </c>
      <c r="N741" s="706">
        <v>0</v>
      </c>
      <c r="O741" s="706">
        <v>0</v>
      </c>
      <c r="P741" s="706">
        <v>0</v>
      </c>
      <c r="Q741" s="706">
        <v>0</v>
      </c>
      <c r="R741" s="706">
        <v>0</v>
      </c>
      <c r="S741" s="706">
        <v>0</v>
      </c>
      <c r="T741" s="706">
        <v>0</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G63020</v>
      </c>
      <c r="AK741" s="905" t="str">
        <f t="shared" si="73"/>
        <v>COUT-CL 1500 SILVERAD-LOC</v>
      </c>
      <c r="AL741" s="905">
        <f>IFERROR(INDEX(G741:R741,1,MATCH(Parametres!$B$3,G$1:R$1,0)-1)*IF(OR(F741="L",F741="S",F741="I"),-1,1),"")</f>
        <v>0</v>
      </c>
      <c r="AM741" s="905">
        <f t="shared" si="68"/>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t="str">
        <f t="shared" si="69"/>
        <v>G63020</v>
      </c>
      <c r="AU741" s="488" t="str">
        <f t="shared" si="70"/>
        <v>COUT-CL 1500 SILVERAD-LOC</v>
      </c>
      <c r="AV741" s="899">
        <f>IFERROR(INDEX(V741:AG741,1,MATCH(Parametres!$B$3,V$1:AG$1,0)-1)*IF(OR(C741="L",C741="S",C741="I"),-1,1),"")</f>
        <v>0</v>
      </c>
      <c r="AW741" s="899">
        <f t="shared" si="71"/>
        <v>0</v>
      </c>
      <c r="AX741" s="899">
        <f>INDEX(V741:AG741,1,MATCH(Parametres!$B$3,V$1:AG$1,0))*IF(OR(C741="L",C741="S",C741="I"),-1,1)</f>
        <v>0</v>
      </c>
      <c r="AY741" s="487" t="s">
        <v>337</v>
      </c>
      <c r="AZ741" s="487" t="e">
        <f>+VLOOKUP($AJ741,Data_Validation!$A:$E,5,0)</f>
        <v>#N/A</v>
      </c>
    </row>
    <row r="742" spans="1:52" ht="15" hidden="1" customHeight="1">
      <c r="A742" s="706" t="s">
        <v>1147</v>
      </c>
      <c r="B742" s="706">
        <v>2025</v>
      </c>
      <c r="C742" s="706" t="s">
        <v>2728</v>
      </c>
      <c r="D742" s="706" t="s">
        <v>2729</v>
      </c>
      <c r="E742" s="706" t="s">
        <v>1142</v>
      </c>
      <c r="F742" s="706" t="s">
        <v>1151</v>
      </c>
      <c r="G742" s="706">
        <v>293491.15000000002</v>
      </c>
      <c r="H742" s="706">
        <v>584322.18000000005</v>
      </c>
      <c r="I742" s="706">
        <v>881194.22</v>
      </c>
      <c r="J742" s="706">
        <v>1142640.6399999999</v>
      </c>
      <c r="K742" s="706">
        <v>1478678.29</v>
      </c>
      <c r="L742" s="706">
        <v>1576687.93</v>
      </c>
      <c r="M742" s="706">
        <v>2213510.85</v>
      </c>
      <c r="N742" s="706">
        <v>2676534.9300000002</v>
      </c>
      <c r="O742" s="706">
        <v>2676534.9300000002</v>
      </c>
      <c r="P742" s="706">
        <v>2770273.93</v>
      </c>
      <c r="Q742" s="706">
        <v>3059236.88</v>
      </c>
      <c r="R742" s="706">
        <v>3249366.56</v>
      </c>
      <c r="S742" s="706">
        <v>278112.44</v>
      </c>
      <c r="T742" s="706">
        <v>278112.44</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G63100</v>
      </c>
      <c r="AK742" s="905" t="str">
        <f t="shared" si="73"/>
        <v>COUT-CL 2500 SILVERADO</v>
      </c>
      <c r="AL742" s="905">
        <f>IFERROR(INDEX(G742:R742,1,MATCH(Parametres!$B$3,G$1:R$1,0)-1)*IF(OR(F742="L",F742="S",F742="I"),-1,1),"")</f>
        <v>3059236.88</v>
      </c>
      <c r="AM742" s="905">
        <f t="shared" si="68"/>
        <v>190129.68000000017</v>
      </c>
      <c r="AN742" s="905">
        <f>INDEX(G742:R742,1,MATCH(Parametres!$B$3,G$1:R$1,0))*IF(OR(F742="L",F742="S",F742="I"),-1,1)</f>
        <v>3249366.56</v>
      </c>
      <c r="AO742" s="487" t="str">
        <f>+VLOOKUP($AJ742,Data_Validation!$A:$D,1,0)</f>
        <v>G63100</v>
      </c>
      <c r="AP742" s="487" t="str">
        <f>+VLOOKUP($AJ742,Data_Validation!$A:$D,3,0)</f>
        <v>Véhicules neufs</v>
      </c>
      <c r="AQ742" s="487" t="str">
        <f>+VLOOKUP($AJ742,Data_Validation!$A:$D,4,0)</f>
        <v>Camions détail</v>
      </c>
      <c r="AR742" s="487" t="s">
        <v>299</v>
      </c>
      <c r="AS742" s="487">
        <f>+VLOOKUP($AJ742,Data_Validation!$A:$E,5,0)</f>
        <v>0</v>
      </c>
      <c r="AT742" s="904" t="str">
        <f t="shared" si="69"/>
        <v>G63100</v>
      </c>
      <c r="AU742" s="488" t="str">
        <f t="shared" si="70"/>
        <v>COUT-CL 2500 SILVERADO</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1147</v>
      </c>
      <c r="B743" s="706">
        <v>2025</v>
      </c>
      <c r="C743" s="706" t="s">
        <v>2730</v>
      </c>
      <c r="D743" s="706" t="s">
        <v>2731</v>
      </c>
      <c r="E743" s="706" t="s">
        <v>1142</v>
      </c>
      <c r="F743" s="706" t="s">
        <v>1151</v>
      </c>
      <c r="G743" s="706">
        <v>610987.49</v>
      </c>
      <c r="H743" s="706">
        <v>1325041.32</v>
      </c>
      <c r="I743" s="706">
        <v>2098442.98</v>
      </c>
      <c r="J743" s="706">
        <v>3051094.03</v>
      </c>
      <c r="K743" s="706">
        <v>3458973.51</v>
      </c>
      <c r="L743" s="706">
        <v>4221399.4000000004</v>
      </c>
      <c r="M743" s="706">
        <v>4945016.84</v>
      </c>
      <c r="N743" s="706">
        <v>5522978.2800000003</v>
      </c>
      <c r="O743" s="706">
        <v>5844437.0499999998</v>
      </c>
      <c r="P743" s="706">
        <v>6471188.5599999996</v>
      </c>
      <c r="Q743" s="706">
        <v>6807730.7300000004</v>
      </c>
      <c r="R743" s="706">
        <v>7083564.0599999996</v>
      </c>
      <c r="S743" s="706">
        <v>618884.61</v>
      </c>
      <c r="T743" s="706">
        <v>618884.61</v>
      </c>
      <c r="U743" s="706">
        <v>26624.75</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G63102</v>
      </c>
      <c r="AK743" s="905" t="str">
        <f t="shared" si="73"/>
        <v>COUTANT CL 1500 SIERRA</v>
      </c>
      <c r="AL743" s="905">
        <f>IFERROR(INDEX(G743:R743,1,MATCH(Parametres!$B$3,G$1:R$1,0)-1)*IF(OR(F743="L",F743="S",F743="I"),-1,1),"")</f>
        <v>6807730.7300000004</v>
      </c>
      <c r="AM743" s="905">
        <f t="shared" si="68"/>
        <v>275833.32999999914</v>
      </c>
      <c r="AN743" s="905">
        <f>INDEX(G743:R743,1,MATCH(Parametres!$B$3,G$1:R$1,0))*IF(OR(F743="L",F743="S",F743="I"),-1,1)</f>
        <v>7083564.0599999996</v>
      </c>
      <c r="AO743" s="487" t="str">
        <f>+VLOOKUP($AJ743,Data_Validation!$A:$D,1,0)</f>
        <v>G63102</v>
      </c>
      <c r="AP743" s="487" t="str">
        <f>+VLOOKUP($AJ743,Data_Validation!$A:$D,3,0)</f>
        <v>Véhicules neufs</v>
      </c>
      <c r="AQ743" s="487" t="str">
        <f>+VLOOKUP($AJ743,Data_Validation!$A:$D,4,0)</f>
        <v>Camions détail</v>
      </c>
      <c r="AR743" s="487" t="s">
        <v>299</v>
      </c>
      <c r="AS743" s="487">
        <f>+VLOOKUP($AJ743,Data_Validation!$A:$E,5,0)</f>
        <v>0</v>
      </c>
      <c r="AT743" s="904" t="str">
        <f t="shared" si="69"/>
        <v>G63102</v>
      </c>
      <c r="AU743" s="488" t="str">
        <f t="shared" si="70"/>
        <v>COUTANT CL 1500 SIERRA</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1147</v>
      </c>
      <c r="B744" s="706">
        <v>2025</v>
      </c>
      <c r="C744" s="706" t="s">
        <v>2732</v>
      </c>
      <c r="D744" s="706" t="s">
        <v>2733</v>
      </c>
      <c r="E744" s="706" t="s">
        <v>1142</v>
      </c>
      <c r="F744" s="706" t="s">
        <v>1151</v>
      </c>
      <c r="G744" s="706">
        <v>120449.57</v>
      </c>
      <c r="H744" s="706">
        <v>120449.57</v>
      </c>
      <c r="I744" s="706">
        <v>237761.39</v>
      </c>
      <c r="J744" s="706">
        <v>351411.53</v>
      </c>
      <c r="K744" s="706">
        <v>568404.61</v>
      </c>
      <c r="L744" s="706">
        <v>781308.19</v>
      </c>
      <c r="M744" s="706">
        <v>1093941.74</v>
      </c>
      <c r="N744" s="706">
        <v>1093941.74</v>
      </c>
      <c r="O744" s="706">
        <v>1189987.79</v>
      </c>
      <c r="P744" s="706">
        <v>1298416.33</v>
      </c>
      <c r="Q744" s="706">
        <v>1298416.33</v>
      </c>
      <c r="R744" s="706">
        <v>1298416.33</v>
      </c>
      <c r="S744" s="706">
        <v>118037.85</v>
      </c>
      <c r="T744" s="706">
        <v>118037.85</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G63103</v>
      </c>
      <c r="AK744" s="905" t="str">
        <f t="shared" si="73"/>
        <v>COUT - SIERRA EV</v>
      </c>
      <c r="AL744" s="905">
        <f>IFERROR(INDEX(G744:R744,1,MATCH(Parametres!$B$3,G$1:R$1,0)-1)*IF(OR(F744="L",F744="S",F744="I"),-1,1),"")</f>
        <v>1298416.33</v>
      </c>
      <c r="AM744" s="905">
        <f t="shared" si="68"/>
        <v>0</v>
      </c>
      <c r="AN744" s="905">
        <f>INDEX(G744:R744,1,MATCH(Parametres!$B$3,G$1:R$1,0))*IF(OR(F744="L",F744="S",F744="I"),-1,1)</f>
        <v>1298416.33</v>
      </c>
      <c r="AO744" s="487" t="str">
        <f>+VLOOKUP($AJ744,Data_Validation!$A:$D,1,0)</f>
        <v>G63103</v>
      </c>
      <c r="AP744" s="487" t="str">
        <f>+VLOOKUP($AJ744,Data_Validation!$A:$D,3,0)</f>
        <v>Véhicules neufs</v>
      </c>
      <c r="AQ744" s="487" t="str">
        <f>+VLOOKUP($AJ744,Data_Validation!$A:$D,4,0)</f>
        <v>Camions electriques</v>
      </c>
      <c r="AR744" s="487" t="s">
        <v>299</v>
      </c>
      <c r="AS744" s="487">
        <f>+VLOOKUP($AJ744,Data_Validation!$A:$E,5,0)</f>
        <v>0</v>
      </c>
      <c r="AT744" s="904" t="str">
        <f t="shared" si="69"/>
        <v>G63103</v>
      </c>
      <c r="AU744" s="488" t="str">
        <f t="shared" si="70"/>
        <v>COUT - SIERRA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1147</v>
      </c>
      <c r="B745" s="706">
        <v>2025</v>
      </c>
      <c r="C745" s="706" t="s">
        <v>2734</v>
      </c>
      <c r="D745" s="706" t="s">
        <v>2735</v>
      </c>
      <c r="E745" s="706" t="s">
        <v>1142</v>
      </c>
      <c r="F745" s="706" t="s">
        <v>1151</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G63120</v>
      </c>
      <c r="AK745" s="905" t="str">
        <f t="shared" si="73"/>
        <v>COUT-CL 2500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G63120</v>
      </c>
      <c r="AU745" s="488" t="str">
        <f t="shared" si="70"/>
        <v>COUT-CL 2500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1147</v>
      </c>
      <c r="B746" s="706">
        <v>2025</v>
      </c>
      <c r="C746" s="706" t="s">
        <v>2736</v>
      </c>
      <c r="D746" s="706" t="s">
        <v>2737</v>
      </c>
      <c r="E746" s="706" t="s">
        <v>1142</v>
      </c>
      <c r="F746" s="706" t="s">
        <v>1151</v>
      </c>
      <c r="G746" s="706">
        <v>0</v>
      </c>
      <c r="H746" s="706">
        <v>0</v>
      </c>
      <c r="I746" s="706">
        <v>0</v>
      </c>
      <c r="J746" s="706">
        <v>0</v>
      </c>
      <c r="K746" s="706">
        <v>0</v>
      </c>
      <c r="L746" s="706">
        <v>88039.46</v>
      </c>
      <c r="M746" s="706">
        <v>88039.46</v>
      </c>
      <c r="N746" s="706">
        <v>88039.46</v>
      </c>
      <c r="O746" s="706">
        <v>88039.46</v>
      </c>
      <c r="P746" s="706">
        <v>88039.46</v>
      </c>
      <c r="Q746" s="706">
        <v>88039.46</v>
      </c>
      <c r="R746" s="706">
        <v>88039.46</v>
      </c>
      <c r="S746" s="706">
        <v>8003.59</v>
      </c>
      <c r="T746" s="706">
        <v>8003.59</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G63200</v>
      </c>
      <c r="AK746" s="905" t="str">
        <f t="shared" si="73"/>
        <v>COUT-CL 3500 SILVERADO</v>
      </c>
      <c r="AL746" s="905">
        <f>IFERROR(INDEX(G746:R746,1,MATCH(Parametres!$B$3,G$1:R$1,0)-1)*IF(OR(F746="L",F746="S",F746="I"),-1,1),"")</f>
        <v>88039.46</v>
      </c>
      <c r="AM746" s="905">
        <f t="shared" si="68"/>
        <v>0</v>
      </c>
      <c r="AN746" s="905">
        <f>INDEX(G746:R746,1,MATCH(Parametres!$B$3,G$1:R$1,0))*IF(OR(F746="L",F746="S",F746="I"),-1,1)</f>
        <v>88039.46</v>
      </c>
      <c r="AO746" s="487" t="str">
        <f>+VLOOKUP($AJ746,Data_Validation!$A:$D,1,0)</f>
        <v>G63200</v>
      </c>
      <c r="AP746" s="487" t="str">
        <f>+VLOOKUP($AJ746,Data_Validation!$A:$D,3,0)</f>
        <v>Véhicules neufs</v>
      </c>
      <c r="AQ746" s="487" t="str">
        <f>+VLOOKUP($AJ746,Data_Validation!$A:$D,4,0)</f>
        <v>Camions détail</v>
      </c>
      <c r="AR746" s="487" t="s">
        <v>299</v>
      </c>
      <c r="AS746" s="487">
        <f>+VLOOKUP($AJ746,Data_Validation!$A:$E,5,0)</f>
        <v>0</v>
      </c>
      <c r="AT746" s="904" t="str">
        <f t="shared" si="69"/>
        <v>G63200</v>
      </c>
      <c r="AU746" s="488" t="str">
        <f t="shared" si="70"/>
        <v>COUT-CL 3500 SILVERADO</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1147</v>
      </c>
      <c r="B747" s="706">
        <v>2025</v>
      </c>
      <c r="C747" s="706" t="s">
        <v>2738</v>
      </c>
      <c r="D747" s="706" t="s">
        <v>2739</v>
      </c>
      <c r="E747" s="706" t="s">
        <v>1142</v>
      </c>
      <c r="F747" s="706" t="s">
        <v>1151</v>
      </c>
      <c r="G747" s="706">
        <v>447295.58</v>
      </c>
      <c r="H747" s="706">
        <v>763613.71</v>
      </c>
      <c r="I747" s="706">
        <v>966645.28</v>
      </c>
      <c r="J747" s="706">
        <v>1197865.23</v>
      </c>
      <c r="K747" s="706">
        <v>1756411.18</v>
      </c>
      <c r="L747" s="706">
        <v>2350646.6800000002</v>
      </c>
      <c r="M747" s="706">
        <v>2946299.4</v>
      </c>
      <c r="N747" s="706">
        <v>3242392.11</v>
      </c>
      <c r="O747" s="706">
        <v>3676835.23</v>
      </c>
      <c r="P747" s="706">
        <v>4116158.07</v>
      </c>
      <c r="Q747" s="706">
        <v>4425149.84</v>
      </c>
      <c r="R747" s="706">
        <v>4642554.45</v>
      </c>
      <c r="S747" s="706">
        <v>402286.35</v>
      </c>
      <c r="T747" s="706">
        <v>402286.35</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G63202</v>
      </c>
      <c r="AK747" s="905" t="str">
        <f t="shared" si="73"/>
        <v>COUT- CL 2500 SIERRA</v>
      </c>
      <c r="AL747" s="905">
        <f>IFERROR(INDEX(G747:R747,1,MATCH(Parametres!$B$3,G$1:R$1,0)-1)*IF(OR(F747="L",F747="S",F747="I"),-1,1),"")</f>
        <v>4425149.84</v>
      </c>
      <c r="AM747" s="905">
        <f t="shared" si="68"/>
        <v>217404.61000000034</v>
      </c>
      <c r="AN747" s="905">
        <f>INDEX(G747:R747,1,MATCH(Parametres!$B$3,G$1:R$1,0))*IF(OR(F747="L",F747="S",F747="I"),-1,1)</f>
        <v>4642554.45</v>
      </c>
      <c r="AO747" s="487" t="str">
        <f>+VLOOKUP($AJ747,Data_Validation!$A:$D,1,0)</f>
        <v>G63202</v>
      </c>
      <c r="AP747" s="487" t="str">
        <f>+VLOOKUP($AJ747,Data_Validation!$A:$D,3,0)</f>
        <v>Véhicules neufs</v>
      </c>
      <c r="AQ747" s="487" t="str">
        <f>+VLOOKUP($AJ747,Data_Validation!$A:$D,4,0)</f>
        <v>Camions détail</v>
      </c>
      <c r="AR747" s="487" t="s">
        <v>299</v>
      </c>
      <c r="AS747" s="487">
        <f>+VLOOKUP($AJ747,Data_Validation!$A:$E,5,0)</f>
        <v>0</v>
      </c>
      <c r="AT747" s="904" t="str">
        <f t="shared" si="69"/>
        <v>G63202</v>
      </c>
      <c r="AU747" s="488" t="str">
        <f t="shared" si="70"/>
        <v>COUT- CL 2500 SIERRA</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hidden="1" customHeight="1">
      <c r="A748" s="706" t="s">
        <v>1147</v>
      </c>
      <c r="B748" s="706">
        <v>2025</v>
      </c>
      <c r="C748" s="706" t="s">
        <v>2740</v>
      </c>
      <c r="D748" s="706" t="s">
        <v>2741</v>
      </c>
      <c r="E748" s="706" t="s">
        <v>1142</v>
      </c>
      <c r="F748" s="706" t="s">
        <v>1151</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G63203</v>
      </c>
      <c r="AK748" s="905" t="str">
        <f t="shared" si="73"/>
        <v>COUTANT - SIERRA 3500</v>
      </c>
      <c r="AL748" s="905">
        <f>IFERROR(INDEX(G748:R748,1,MATCH(Parametres!$B$3,G$1:R$1,0)-1)*IF(OR(F748="L",F748="S",F748="I"),-1,1),"")</f>
        <v>0</v>
      </c>
      <c r="AM748" s="905">
        <f t="shared" si="68"/>
        <v>0</v>
      </c>
      <c r="AN748" s="905">
        <f>INDEX(G748:R748,1,MATCH(Parametres!$B$3,G$1:R$1,0))*IF(OR(F748="L",F748="S",F748="I"),-1,1)</f>
        <v>0</v>
      </c>
      <c r="AO748" s="487" t="str">
        <f>+VLOOKUP($AJ748,Data_Validation!$A:$D,1,0)</f>
        <v>G63203</v>
      </c>
      <c r="AP748" s="487" t="str">
        <f>+VLOOKUP($AJ748,Data_Validation!$A:$D,3,0)</f>
        <v>Véhicules neufs</v>
      </c>
      <c r="AQ748" s="487" t="str">
        <f>+VLOOKUP($AJ748,Data_Validation!$A:$D,4,0)</f>
        <v>Camions détail</v>
      </c>
      <c r="AR748" s="487" t="s">
        <v>299</v>
      </c>
      <c r="AS748" s="487">
        <f>+VLOOKUP($AJ748,Data_Validation!$A:$E,5,0)</f>
        <v>0</v>
      </c>
      <c r="AT748" s="904" t="str">
        <f t="shared" si="69"/>
        <v>G63203</v>
      </c>
      <c r="AU748" s="488" t="str">
        <f t="shared" si="70"/>
        <v>COUTANT - SIERRA 3500</v>
      </c>
      <c r="AV748" s="899">
        <f>IFERROR(INDEX(V748:AG748,1,MATCH(Parametres!$B$3,V$1:AG$1,0)-1)*IF(OR(C748="L",C748="S",C748="I"),-1,1),"")</f>
        <v>0</v>
      </c>
      <c r="AW748" s="899">
        <f t="shared" si="71"/>
        <v>0</v>
      </c>
      <c r="AX748" s="899">
        <f>INDEX(V748:AG748,1,MATCH(Parametres!$B$3,V$1:AG$1,0))*IF(OR(C748="L",C748="S",C748="I"),-1,1)</f>
        <v>0</v>
      </c>
      <c r="AY748" s="487" t="s">
        <v>337</v>
      </c>
      <c r="AZ748" s="487">
        <f>+VLOOKUP($AJ748,Data_Validation!$A:$E,5,0)</f>
        <v>0</v>
      </c>
    </row>
    <row r="749" spans="1:52" ht="15" hidden="1" customHeight="1">
      <c r="A749" s="706" t="s">
        <v>1147</v>
      </c>
      <c r="B749" s="706">
        <v>2025</v>
      </c>
      <c r="C749" s="706" t="s">
        <v>2742</v>
      </c>
      <c r="D749" s="706" t="s">
        <v>2743</v>
      </c>
      <c r="E749" s="706" t="s">
        <v>1142</v>
      </c>
      <c r="F749" s="706" t="s">
        <v>1151</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G63300</v>
      </c>
      <c r="AK749" s="905" t="str">
        <f t="shared" si="73"/>
        <v>COUT-BLAZER</v>
      </c>
      <c r="AL749" s="905">
        <f>IFERROR(INDEX(G749:R749,1,MATCH(Parametres!$B$3,G$1:R$1,0)-1)*IF(OR(F749="L",F749="S",F749="I"),-1,1),"")</f>
        <v>0</v>
      </c>
      <c r="AM749" s="905">
        <f t="shared" si="68"/>
        <v>0</v>
      </c>
      <c r="AN749" s="905">
        <f>INDEX(G749:R749,1,MATCH(Parametres!$B$3,G$1:R$1,0))*IF(OR(F749="L",F749="S",F749="I"),-1,1)</f>
        <v>0</v>
      </c>
      <c r="AO749" s="487" t="str">
        <f>+VLOOKUP($AJ749,Data_Validation!$A:$D,1,0)</f>
        <v>G63300</v>
      </c>
      <c r="AP749" s="487" t="str">
        <f>+VLOOKUP($AJ749,Data_Validation!$A:$D,3,0)</f>
        <v>Véhicules neufs</v>
      </c>
      <c r="AQ749" s="487" t="str">
        <f>+VLOOKUP($AJ749,Data_Validation!$A:$D,4,0)</f>
        <v>Camions détail</v>
      </c>
      <c r="AR749" s="487" t="s">
        <v>299</v>
      </c>
      <c r="AS749" s="487">
        <f>+VLOOKUP($AJ749,Data_Validation!$A:$E,5,0)</f>
        <v>0</v>
      </c>
      <c r="AT749" s="904" t="str">
        <f t="shared" si="69"/>
        <v>G63300</v>
      </c>
      <c r="AU749" s="488" t="str">
        <f t="shared" si="70"/>
        <v>COUT-BLAZER</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1147</v>
      </c>
      <c r="B750" s="706">
        <v>2025</v>
      </c>
      <c r="C750" s="706" t="s">
        <v>2744</v>
      </c>
      <c r="D750" s="706" t="s">
        <v>2745</v>
      </c>
      <c r="E750" s="706" t="s">
        <v>1142</v>
      </c>
      <c r="F750" s="706" t="s">
        <v>1151</v>
      </c>
      <c r="G750" s="706">
        <v>0</v>
      </c>
      <c r="H750" s="706">
        <v>0</v>
      </c>
      <c r="I750" s="706">
        <v>74887.62</v>
      </c>
      <c r="J750" s="706">
        <v>200296.84</v>
      </c>
      <c r="K750" s="706">
        <v>200296.84</v>
      </c>
      <c r="L750" s="706">
        <v>320646.59000000003</v>
      </c>
      <c r="M750" s="706">
        <v>383013.06</v>
      </c>
      <c r="N750" s="706">
        <v>506749.84</v>
      </c>
      <c r="O750" s="706">
        <v>567964.37</v>
      </c>
      <c r="P750" s="706">
        <v>627382.4</v>
      </c>
      <c r="Q750" s="706">
        <v>693886.81</v>
      </c>
      <c r="R750" s="706">
        <v>1083750.78</v>
      </c>
      <c r="S750" s="706">
        <v>63080.62</v>
      </c>
      <c r="T750" s="706">
        <v>63080.62</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G63301</v>
      </c>
      <c r="AK750" s="905" t="str">
        <f t="shared" si="73"/>
        <v>COUT-BLAZER EV</v>
      </c>
      <c r="AL750" s="905">
        <f>IFERROR(INDEX(G750:R750,1,MATCH(Parametres!$B$3,G$1:R$1,0)-1)*IF(OR(F750="L",F750="S",F750="I"),-1,1),"")</f>
        <v>693886.81</v>
      </c>
      <c r="AM750" s="905">
        <f t="shared" si="68"/>
        <v>389863.97</v>
      </c>
      <c r="AN750" s="905">
        <f>INDEX(G750:R750,1,MATCH(Parametres!$B$3,G$1:R$1,0))*IF(OR(F750="L",F750="S",F750="I"),-1,1)</f>
        <v>1083750.78</v>
      </c>
      <c r="AO750" s="487" t="str">
        <f>+VLOOKUP($AJ750,Data_Validation!$A:$D,1,0)</f>
        <v>G63301</v>
      </c>
      <c r="AP750" s="487" t="str">
        <f>+VLOOKUP($AJ750,Data_Validation!$A:$D,3,0)</f>
        <v>Véhicules neufs</v>
      </c>
      <c r="AQ750" s="487" t="str">
        <f>+VLOOKUP($AJ750,Data_Validation!$A:$D,4,0)</f>
        <v>Camions electriques</v>
      </c>
      <c r="AR750" s="487" t="s">
        <v>299</v>
      </c>
      <c r="AS750" s="487">
        <f>+VLOOKUP($AJ750,Data_Validation!$A:$E,5,0)</f>
        <v>0</v>
      </c>
      <c r="AT750" s="904" t="str">
        <f t="shared" si="69"/>
        <v>G63301</v>
      </c>
      <c r="AU750" s="488" t="str">
        <f t="shared" si="70"/>
        <v>COUT-BLAZER EV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1147</v>
      </c>
      <c r="B751" s="706">
        <v>2025</v>
      </c>
      <c r="C751" s="706" t="s">
        <v>2746</v>
      </c>
      <c r="D751" s="706" t="s">
        <v>2747</v>
      </c>
      <c r="E751" s="706" t="s">
        <v>1142</v>
      </c>
      <c r="F751" s="706" t="s">
        <v>1151</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G63320</v>
      </c>
      <c r="AK751" s="905" t="str">
        <f t="shared" si="73"/>
        <v>COUT-CL 3500 SILVERAD-LOC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G63320</v>
      </c>
      <c r="AU751" s="488" t="str">
        <f t="shared" si="70"/>
        <v>COUT-CL 3500 SILVERAD-LOC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1147</v>
      </c>
      <c r="B752" s="706">
        <v>2025</v>
      </c>
      <c r="C752" s="706" t="s">
        <v>2748</v>
      </c>
      <c r="D752" s="706" t="s">
        <v>2749</v>
      </c>
      <c r="E752" s="706" t="s">
        <v>1142</v>
      </c>
      <c r="F752" s="706" t="s">
        <v>1151</v>
      </c>
      <c r="G752" s="706">
        <v>0</v>
      </c>
      <c r="H752" s="706">
        <v>0</v>
      </c>
      <c r="I752" s="706">
        <v>73335.62</v>
      </c>
      <c r="J752" s="706">
        <v>114280.98</v>
      </c>
      <c r="K752" s="706">
        <v>192114.3</v>
      </c>
      <c r="L752" s="706">
        <v>273291.3</v>
      </c>
      <c r="M752" s="706">
        <v>342917.8</v>
      </c>
      <c r="N752" s="706">
        <v>461536.34</v>
      </c>
      <c r="O752" s="706">
        <v>636151.05000000005</v>
      </c>
      <c r="P752" s="706">
        <v>977446.88</v>
      </c>
      <c r="Q752" s="706">
        <v>1056963.76</v>
      </c>
      <c r="R752" s="706">
        <v>1056963.76</v>
      </c>
      <c r="S752" s="706">
        <v>96087.61</v>
      </c>
      <c r="T752" s="706">
        <v>96087.61</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G63400</v>
      </c>
      <c r="AK752" s="905" t="str">
        <f t="shared" si="73"/>
        <v>COUTANT EQUINOX</v>
      </c>
      <c r="AL752" s="905">
        <f>IFERROR(INDEX(G752:R752,1,MATCH(Parametres!$B$3,G$1:R$1,0)-1)*IF(OR(F752="L",F752="S",F752="I"),-1,1),"")</f>
        <v>1056963.76</v>
      </c>
      <c r="AM752" s="905">
        <f t="shared" si="68"/>
        <v>0</v>
      </c>
      <c r="AN752" s="905">
        <f>INDEX(G752:R752,1,MATCH(Parametres!$B$3,G$1:R$1,0))*IF(OR(F752="L",F752="S",F752="I"),-1,1)</f>
        <v>1056963.76</v>
      </c>
      <c r="AO752" s="487" t="str">
        <f>+VLOOKUP($AJ752,Data_Validation!$A:$D,1,0)</f>
        <v>G63400</v>
      </c>
      <c r="AP752" s="487" t="str">
        <f>+VLOOKUP($AJ752,Data_Validation!$A:$D,3,0)</f>
        <v>Véhicules neufs</v>
      </c>
      <c r="AQ752" s="487" t="str">
        <f>+VLOOKUP($AJ752,Data_Validation!$A:$D,4,0)</f>
        <v>Camions détail</v>
      </c>
      <c r="AR752" s="487" t="s">
        <v>299</v>
      </c>
      <c r="AS752" s="487">
        <f>+VLOOKUP($AJ752,Data_Validation!$A:$E,5,0)</f>
        <v>0</v>
      </c>
      <c r="AT752" s="904" t="str">
        <f t="shared" si="69"/>
        <v>G63400</v>
      </c>
      <c r="AU752" s="488" t="str">
        <f t="shared" si="70"/>
        <v>COUTANT EQUINOX</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1147</v>
      </c>
      <c r="B753" s="706">
        <v>2025</v>
      </c>
      <c r="C753" s="706" t="s">
        <v>2750</v>
      </c>
      <c r="D753" s="706" t="s">
        <v>2751</v>
      </c>
      <c r="E753" s="706" t="s">
        <v>1142</v>
      </c>
      <c r="F753" s="706" t="s">
        <v>1151</v>
      </c>
      <c r="G753" s="706">
        <v>686084.28</v>
      </c>
      <c r="H753" s="706">
        <v>802972.93</v>
      </c>
      <c r="I753" s="706">
        <v>858595.17</v>
      </c>
      <c r="J753" s="706">
        <v>1323828.8</v>
      </c>
      <c r="K753" s="706">
        <v>3155515.09</v>
      </c>
      <c r="L753" s="706">
        <v>4182254.28</v>
      </c>
      <c r="M753" s="706">
        <v>4910474.6100000003</v>
      </c>
      <c r="N753" s="706">
        <v>5384578.1699999999</v>
      </c>
      <c r="O753" s="706">
        <v>6459596.79</v>
      </c>
      <c r="P753" s="706">
        <v>6852647.7599999998</v>
      </c>
      <c r="Q753" s="706">
        <v>7346392.8399999999</v>
      </c>
      <c r="R753" s="706">
        <v>7957701.21</v>
      </c>
      <c r="S753" s="706">
        <v>667853.89</v>
      </c>
      <c r="T753" s="706">
        <v>667853.89</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G63401</v>
      </c>
      <c r="AK753" s="905" t="str">
        <f t="shared" si="73"/>
        <v>COUT - EQUINOX EV</v>
      </c>
      <c r="AL753" s="905">
        <f>IFERROR(INDEX(G753:R753,1,MATCH(Parametres!$B$3,G$1:R$1,0)-1)*IF(OR(F753="L",F753="S",F753="I"),-1,1),"")</f>
        <v>7346392.8399999999</v>
      </c>
      <c r="AM753" s="905">
        <f t="shared" si="68"/>
        <v>611308.37000000011</v>
      </c>
      <c r="AN753" s="905">
        <f>INDEX(G753:R753,1,MATCH(Parametres!$B$3,G$1:R$1,0))*IF(OR(F753="L",F753="S",F753="I"),-1,1)</f>
        <v>7957701.21</v>
      </c>
      <c r="AO753" s="487" t="str">
        <f>+VLOOKUP($AJ753,Data_Validation!$A:$D,1,0)</f>
        <v>G63401</v>
      </c>
      <c r="AP753" s="487" t="str">
        <f>+VLOOKUP($AJ753,Data_Validation!$A:$D,3,0)</f>
        <v>Véhicules neufs</v>
      </c>
      <c r="AQ753" s="487" t="str">
        <f>+VLOOKUP($AJ753,Data_Validation!$A:$D,4,0)</f>
        <v>Camions electriques</v>
      </c>
      <c r="AR753" s="487" t="s">
        <v>299</v>
      </c>
      <c r="AS753" s="487">
        <f>+VLOOKUP($AJ753,Data_Validation!$A:$E,5,0)</f>
        <v>0</v>
      </c>
      <c r="AT753" s="904" t="str">
        <f t="shared" si="69"/>
        <v>G63401</v>
      </c>
      <c r="AU753" s="488" t="str">
        <f t="shared" si="70"/>
        <v>COUT - EQUINOX EV</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1147</v>
      </c>
      <c r="B754" s="706">
        <v>2025</v>
      </c>
      <c r="C754" s="706" t="s">
        <v>2752</v>
      </c>
      <c r="D754" s="706" t="s">
        <v>2753</v>
      </c>
      <c r="E754" s="706" t="s">
        <v>1142</v>
      </c>
      <c r="F754" s="706" t="s">
        <v>1151</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G63420</v>
      </c>
      <c r="AK754" s="905" t="str">
        <f t="shared" si="73"/>
        <v>COUT-TRACKER         -LOC</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G63420</v>
      </c>
      <c r="AU754" s="488" t="str">
        <f t="shared" si="70"/>
        <v>COUT-TRACKER         -LOC</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hidden="1" customHeight="1">
      <c r="A755" s="706" t="s">
        <v>1147</v>
      </c>
      <c r="B755" s="706">
        <v>2025</v>
      </c>
      <c r="C755" s="706" t="s">
        <v>2754</v>
      </c>
      <c r="D755" s="706" t="s">
        <v>2755</v>
      </c>
      <c r="E755" s="706" t="s">
        <v>1142</v>
      </c>
      <c r="F755" s="706" t="s">
        <v>1151</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G63500</v>
      </c>
      <c r="AK755" s="905" t="str">
        <f t="shared" si="73"/>
        <v>COUT CHEV CITY</v>
      </c>
      <c r="AL755" s="905">
        <f>IFERROR(INDEX(G755:R755,1,MATCH(Parametres!$B$3,G$1:R$1,0)-1)*IF(OR(F755="L",F755="S",F755="I"),-1,1),"")</f>
        <v>0</v>
      </c>
      <c r="AM755" s="905">
        <f t="shared" si="68"/>
        <v>0</v>
      </c>
      <c r="AN755" s="905">
        <f>INDEX(G755:R755,1,MATCH(Parametres!$B$3,G$1:R$1,0))*IF(OR(F755="L",F755="S",F755="I"),-1,1)</f>
        <v>0</v>
      </c>
      <c r="AO755" s="487" t="str">
        <f>+VLOOKUP($AJ755,Data_Validation!$A:$D,1,0)</f>
        <v>G63500</v>
      </c>
      <c r="AP755" s="487" t="str">
        <f>+VLOOKUP($AJ755,Data_Validation!$A:$D,3,0)</f>
        <v>Véhicules neufs</v>
      </c>
      <c r="AQ755" s="487" t="str">
        <f>+VLOOKUP($AJ755,Data_Validation!$A:$D,4,0)</f>
        <v>Camions détail</v>
      </c>
      <c r="AR755" s="487" t="s">
        <v>299</v>
      </c>
      <c r="AS755" s="487">
        <f>+VLOOKUP($AJ755,Data_Validation!$A:$E,5,0)</f>
        <v>0</v>
      </c>
      <c r="AT755" s="904" t="str">
        <f t="shared" si="69"/>
        <v>G63500</v>
      </c>
      <c r="AU755" s="488" t="str">
        <f t="shared" si="70"/>
        <v>COUT CHEV CITY</v>
      </c>
      <c r="AV755" s="899">
        <f>IFERROR(INDEX(V755:AG755,1,MATCH(Parametres!$B$3,V$1:AG$1,0)-1)*IF(OR(C755="L",C755="S",C755="I"),-1,1),"")</f>
        <v>0</v>
      </c>
      <c r="AW755" s="899">
        <f t="shared" si="71"/>
        <v>0</v>
      </c>
      <c r="AX755" s="899">
        <f>INDEX(V755:AG755,1,MATCH(Parametres!$B$3,V$1:AG$1,0))*IF(OR(C755="L",C755="S",C755="I"),-1,1)</f>
        <v>0</v>
      </c>
      <c r="AY755" s="487" t="s">
        <v>337</v>
      </c>
      <c r="AZ755" s="487">
        <f>+VLOOKUP($AJ755,Data_Validation!$A:$E,5,0)</f>
        <v>0</v>
      </c>
    </row>
    <row r="756" spans="1:52" ht="15" hidden="1" customHeight="1">
      <c r="A756" s="706" t="s">
        <v>1147</v>
      </c>
      <c r="B756" s="706">
        <v>2025</v>
      </c>
      <c r="C756" s="706" t="s">
        <v>2756</v>
      </c>
      <c r="D756" s="706" t="s">
        <v>2757</v>
      </c>
      <c r="E756" s="706" t="s">
        <v>1142</v>
      </c>
      <c r="F756" s="706" t="s">
        <v>1151</v>
      </c>
      <c r="G756" s="706">
        <v>211153.94</v>
      </c>
      <c r="H756" s="706">
        <v>327903.02</v>
      </c>
      <c r="I756" s="706">
        <v>445738.17</v>
      </c>
      <c r="J756" s="706">
        <v>445738.17</v>
      </c>
      <c r="K756" s="706">
        <v>561201.63</v>
      </c>
      <c r="L756" s="706">
        <v>697860.09</v>
      </c>
      <c r="M756" s="706">
        <v>697860.09</v>
      </c>
      <c r="N756" s="706">
        <v>697860.09</v>
      </c>
      <c r="O756" s="706">
        <v>697860.09</v>
      </c>
      <c r="P756" s="706">
        <v>697860.09</v>
      </c>
      <c r="Q756" s="706">
        <v>697860.09</v>
      </c>
      <c r="R756" s="706">
        <v>697860.09</v>
      </c>
      <c r="S756" s="706">
        <v>63441.83</v>
      </c>
      <c r="T756" s="706">
        <v>63441.83</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G63501</v>
      </c>
      <c r="AK756" s="905" t="str">
        <f t="shared" si="73"/>
        <v>COUT - HUMMER EV SUV</v>
      </c>
      <c r="AL756" s="905">
        <f>IFERROR(INDEX(G756:R756,1,MATCH(Parametres!$B$3,G$1:R$1,0)-1)*IF(OR(F756="L",F756="S",F756="I"),-1,1),"")</f>
        <v>697860.09</v>
      </c>
      <c r="AM756" s="905">
        <f t="shared" si="68"/>
        <v>0</v>
      </c>
      <c r="AN756" s="905">
        <f>INDEX(G756:R756,1,MATCH(Parametres!$B$3,G$1:R$1,0))*IF(OR(F756="L",F756="S",F756="I"),-1,1)</f>
        <v>697860.09</v>
      </c>
      <c r="AO756" s="487" t="str">
        <f>+VLOOKUP($AJ756,Data_Validation!$A:$D,1,0)</f>
        <v>G63501</v>
      </c>
      <c r="AP756" s="487" t="str">
        <f>+VLOOKUP($AJ756,Data_Validation!$A:$D,3,0)</f>
        <v>Véhicules neufs</v>
      </c>
      <c r="AQ756" s="487" t="str">
        <f>+VLOOKUP($AJ756,Data_Validation!$A:$D,4,0)</f>
        <v>Camions electriques</v>
      </c>
      <c r="AR756" s="487" t="s">
        <v>299</v>
      </c>
      <c r="AS756" s="487">
        <f>+VLOOKUP($AJ756,Data_Validation!$A:$E,5,0)</f>
        <v>0</v>
      </c>
      <c r="AT756" s="904" t="str">
        <f t="shared" si="69"/>
        <v>G63501</v>
      </c>
      <c r="AU756" s="488" t="str">
        <f t="shared" si="70"/>
        <v>COUT - HUMMER EV SUV</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customHeight="1">
      <c r="A757" s="706" t="s">
        <v>1147</v>
      </c>
      <c r="B757" s="706">
        <v>2025</v>
      </c>
      <c r="C757" s="706" t="s">
        <v>2758</v>
      </c>
      <c r="D757" s="706" t="s">
        <v>2759</v>
      </c>
      <c r="E757" s="706" t="s">
        <v>1142</v>
      </c>
      <c r="F757" s="706" t="s">
        <v>1151</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G63520</v>
      </c>
      <c r="AK757" s="905" t="str">
        <f t="shared" si="73"/>
        <v>COUT-SSR             -LOC</v>
      </c>
      <c r="AL757" s="905">
        <f>IFERROR(INDEX(G757:R757,1,MATCH(Parametres!$B$3,G$1:R$1,0)-1)*IF(OR(F757="L",F757="S",F757="I"),-1,1),"")</f>
        <v>0</v>
      </c>
      <c r="AM757" s="905">
        <f t="shared" si="68"/>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t="str">
        <f t="shared" si="69"/>
        <v>G63520</v>
      </c>
      <c r="AU757" s="488" t="str">
        <f t="shared" si="70"/>
        <v>COUT-SSR             -LOC</v>
      </c>
      <c r="AV757" s="899">
        <f>IFERROR(INDEX(V757:AG757,1,MATCH(Parametres!$B$3,V$1:AG$1,0)-1)*IF(OR(C757="L",C757="S",C757="I"),-1,1),"")</f>
        <v>0</v>
      </c>
      <c r="AW757" s="899">
        <f t="shared" si="71"/>
        <v>0</v>
      </c>
      <c r="AX757" s="899">
        <f>INDEX(V757:AG757,1,MATCH(Parametres!$B$3,V$1:AG$1,0))*IF(OR(C757="L",C757="S",C757="I"),-1,1)</f>
        <v>0</v>
      </c>
      <c r="AY757" s="487" t="s">
        <v>337</v>
      </c>
      <c r="AZ757" s="487" t="e">
        <f>+VLOOKUP($AJ757,Data_Validation!$A:$E,5,0)</f>
        <v>#N/A</v>
      </c>
    </row>
    <row r="758" spans="1:52" ht="15" hidden="1" customHeight="1">
      <c r="A758" s="706" t="s">
        <v>1147</v>
      </c>
      <c r="B758" s="706">
        <v>2025</v>
      </c>
      <c r="C758" s="706" t="s">
        <v>2760</v>
      </c>
      <c r="D758" s="706" t="s">
        <v>2761</v>
      </c>
      <c r="E758" s="706" t="s">
        <v>1142</v>
      </c>
      <c r="F758" s="706" t="s">
        <v>1151</v>
      </c>
      <c r="G758" s="706">
        <v>96953.67</v>
      </c>
      <c r="H758" s="706">
        <v>97063.62</v>
      </c>
      <c r="I758" s="706">
        <v>130920.76</v>
      </c>
      <c r="J758" s="706">
        <v>164750.79999999999</v>
      </c>
      <c r="K758" s="706">
        <v>165031.84</v>
      </c>
      <c r="L758" s="706">
        <v>237513.82</v>
      </c>
      <c r="M758" s="706">
        <v>237513.82</v>
      </c>
      <c r="N758" s="706">
        <v>351481.02</v>
      </c>
      <c r="O758" s="706">
        <v>388795.46</v>
      </c>
      <c r="P758" s="706">
        <v>459361.31</v>
      </c>
      <c r="Q758" s="706">
        <v>490292.35</v>
      </c>
      <c r="R758" s="706">
        <v>490292.35</v>
      </c>
      <c r="S758" s="706">
        <v>44572.03</v>
      </c>
      <c r="T758" s="706">
        <v>44572.03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G63600</v>
      </c>
      <c r="AK758" s="905" t="str">
        <f t="shared" si="73"/>
        <v>COUT-TRAIL BLAZER</v>
      </c>
      <c r="AL758" s="905">
        <f>IFERROR(INDEX(G758:R758,1,MATCH(Parametres!$B$3,G$1:R$1,0)-1)*IF(OR(F758="L",F758="S",F758="I"),-1,1),"")</f>
        <v>490292.35</v>
      </c>
      <c r="AM758" s="905">
        <f t="shared" si="68"/>
        <v>0</v>
      </c>
      <c r="AN758" s="905">
        <f>INDEX(G758:R758,1,MATCH(Parametres!$B$3,G$1:R$1,0))*IF(OR(F758="L",F758="S",F758="I"),-1,1)</f>
        <v>490292.35</v>
      </c>
      <c r="AO758" s="487" t="str">
        <f>+VLOOKUP($AJ758,Data_Validation!$A:$D,1,0)</f>
        <v>G63600</v>
      </c>
      <c r="AP758" s="487" t="str">
        <f>+VLOOKUP($AJ758,Data_Validation!$A:$D,3,0)</f>
        <v>Véhicules neufs</v>
      </c>
      <c r="AQ758" s="487" t="str">
        <f>+VLOOKUP($AJ758,Data_Validation!$A:$D,4,0)</f>
        <v>Camions détail</v>
      </c>
      <c r="AR758" s="487" t="s">
        <v>299</v>
      </c>
      <c r="AS758" s="487">
        <f>+VLOOKUP($AJ758,Data_Validation!$A:$E,5,0)</f>
        <v>0</v>
      </c>
      <c r="AT758" s="904" t="str">
        <f t="shared" si="69"/>
        <v>G63600</v>
      </c>
      <c r="AU758" s="488" t="str">
        <f t="shared" si="70"/>
        <v>COUT-TRAIL BLAZER</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1147</v>
      </c>
      <c r="B759" s="706">
        <v>2025</v>
      </c>
      <c r="C759" s="706" t="s">
        <v>2762</v>
      </c>
      <c r="D759" s="706" t="s">
        <v>2763</v>
      </c>
      <c r="E759" s="706" t="s">
        <v>1142</v>
      </c>
      <c r="F759" s="706" t="s">
        <v>1151</v>
      </c>
      <c r="G759" s="706">
        <v>0</v>
      </c>
      <c r="H759" s="706">
        <v>0</v>
      </c>
      <c r="I759" s="706">
        <v>62631</v>
      </c>
      <c r="J759" s="706">
        <v>126595</v>
      </c>
      <c r="K759" s="706">
        <v>126595</v>
      </c>
      <c r="L759" s="706">
        <v>188385</v>
      </c>
      <c r="M759" s="706">
        <v>299560.5</v>
      </c>
      <c r="N759" s="706">
        <v>299560.5</v>
      </c>
      <c r="O759" s="706">
        <v>299560.5</v>
      </c>
      <c r="P759" s="706">
        <v>299560.5</v>
      </c>
      <c r="Q759" s="706">
        <v>299560.5</v>
      </c>
      <c r="R759" s="706">
        <v>422113.36</v>
      </c>
      <c r="S759" s="706">
        <v>27232.77</v>
      </c>
      <c r="T759" s="706">
        <v>27232.77</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G63602</v>
      </c>
      <c r="AK759" s="905" t="str">
        <f t="shared" si="73"/>
        <v>COÛT- GMC  ACADIA</v>
      </c>
      <c r="AL759" s="905">
        <f>IFERROR(INDEX(G759:R759,1,MATCH(Parametres!$B$3,G$1:R$1,0)-1)*IF(OR(F759="L",F759="S",F759="I"),-1,1),"")</f>
        <v>299560.5</v>
      </c>
      <c r="AM759" s="905">
        <f t="shared" si="68"/>
        <v>122552.85999999999</v>
      </c>
      <c r="AN759" s="905">
        <f>INDEX(G759:R759,1,MATCH(Parametres!$B$3,G$1:R$1,0))*IF(OR(F759="L",F759="S",F759="I"),-1,1)</f>
        <v>422113.36</v>
      </c>
      <c r="AO759" s="487" t="str">
        <f>+VLOOKUP($AJ759,Data_Validation!$A:$D,1,0)</f>
        <v>G63602</v>
      </c>
      <c r="AP759" s="487" t="str">
        <f>+VLOOKUP($AJ759,Data_Validation!$A:$D,3,0)</f>
        <v>Véhicules neufs</v>
      </c>
      <c r="AQ759" s="487" t="str">
        <f>+VLOOKUP($AJ759,Data_Validation!$A:$D,4,0)</f>
        <v>Camions détail</v>
      </c>
      <c r="AR759" s="487" t="s">
        <v>299</v>
      </c>
      <c r="AS759" s="487">
        <f>+VLOOKUP($AJ759,Data_Validation!$A:$E,5,0)</f>
        <v>0</v>
      </c>
      <c r="AT759" s="904" t="str">
        <f t="shared" si="69"/>
        <v>G63602</v>
      </c>
      <c r="AU759" s="488" t="str">
        <f t="shared" si="70"/>
        <v>COÛT- GMC  ACADIA</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customHeight="1">
      <c r="A760" s="706" t="s">
        <v>1147</v>
      </c>
      <c r="B760" s="706">
        <v>2025</v>
      </c>
      <c r="C760" s="706" t="s">
        <v>2764</v>
      </c>
      <c r="D760" s="706" t="s">
        <v>2765</v>
      </c>
      <c r="E760" s="706" t="s">
        <v>1142</v>
      </c>
      <c r="F760" s="706" t="s">
        <v>1151</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G63800</v>
      </c>
      <c r="AK760" s="905" t="str">
        <f t="shared" si="73"/>
        <v>COUT-CHEV CAMION AUTRE</v>
      </c>
      <c r="AL760" s="905">
        <f>IFERROR(INDEX(G760:R760,1,MATCH(Parametres!$B$3,G$1:R$1,0)-1)*IF(OR(F760="L",F760="S",F760="I"),-1,1),"")</f>
        <v>0</v>
      </c>
      <c r="AM760" s="905">
        <f t="shared" si="68"/>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t="str">
        <f t="shared" si="69"/>
        <v>G63800</v>
      </c>
      <c r="AU760" s="488" t="str">
        <f t="shared" si="70"/>
        <v>COUT-CHEV CAMION AUTRE</v>
      </c>
      <c r="AV760" s="899">
        <f>IFERROR(INDEX(V760:AG760,1,MATCH(Parametres!$B$3,V$1:AG$1,0)-1)*IF(OR(C760="L",C760="S",C760="I"),-1,1),"")</f>
        <v>0</v>
      </c>
      <c r="AW760" s="899">
        <f t="shared" si="71"/>
        <v>0</v>
      </c>
      <c r="AX760" s="899">
        <f>INDEX(V760:AG760,1,MATCH(Parametres!$B$3,V$1:AG$1,0))*IF(OR(C760="L",C760="S",C760="I"),-1,1)</f>
        <v>0</v>
      </c>
      <c r="AY760" s="487" t="s">
        <v>337</v>
      </c>
      <c r="AZ760" s="487" t="e">
        <f>+VLOOKUP($AJ760,Data_Validation!$A:$E,5,0)</f>
        <v>#N/A</v>
      </c>
    </row>
    <row r="761" spans="1:52" ht="15" customHeight="1">
      <c r="A761" s="706" t="s">
        <v>1147</v>
      </c>
      <c r="B761" s="706">
        <v>2025</v>
      </c>
      <c r="C761" s="706" t="s">
        <v>2766</v>
      </c>
      <c r="D761" s="706" t="s">
        <v>2767</v>
      </c>
      <c r="E761" s="706" t="s">
        <v>1142</v>
      </c>
      <c r="F761" s="706" t="s">
        <v>1151</v>
      </c>
      <c r="G761" s="706">
        <v>0</v>
      </c>
      <c r="H761" s="706">
        <v>0</v>
      </c>
      <c r="I761" s="706">
        <v>0</v>
      </c>
      <c r="J761" s="706">
        <v>0</v>
      </c>
      <c r="K761" s="706">
        <v>0</v>
      </c>
      <c r="L761" s="706">
        <v>0</v>
      </c>
      <c r="M761" s="706">
        <v>0</v>
      </c>
      <c r="N761" s="706">
        <v>0</v>
      </c>
      <c r="O761" s="706">
        <v>0</v>
      </c>
      <c r="P761" s="706">
        <v>0</v>
      </c>
      <c r="Q761" s="706">
        <v>0</v>
      </c>
      <c r="R761" s="706">
        <v>0</v>
      </c>
      <c r="S761" s="706">
        <v>0</v>
      </c>
      <c r="T761" s="706">
        <v>0</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G63820</v>
      </c>
      <c r="AK761" s="905" t="str">
        <f t="shared" si="73"/>
        <v>COUT-CHEV CAMION AUTR-LOC</v>
      </c>
      <c r="AL761" s="905">
        <f>IFERROR(INDEX(G761:R761,1,MATCH(Parametres!$B$3,G$1:R$1,0)-1)*IF(OR(F761="L",F761="S",F761="I"),-1,1),"")</f>
        <v>0</v>
      </c>
      <c r="AM761" s="905">
        <f t="shared" si="68"/>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t="str">
        <f t="shared" si="69"/>
        <v>G63820</v>
      </c>
      <c r="AU761" s="488" t="str">
        <f t="shared" si="70"/>
        <v>COUT-CHEV CAMION AUTR-LOC</v>
      </c>
      <c r="AV761" s="899">
        <f>IFERROR(INDEX(V761:AG761,1,MATCH(Parametres!$B$3,V$1:AG$1,0)-1)*IF(OR(C761="L",C761="S",C761="I"),-1,1),"")</f>
        <v>0</v>
      </c>
      <c r="AW761" s="899">
        <f t="shared" si="71"/>
        <v>0</v>
      </c>
      <c r="AX761" s="899">
        <f>INDEX(V761:AG761,1,MATCH(Parametres!$B$3,V$1:AG$1,0))*IF(OR(C761="L",C761="S",C761="I"),-1,1)</f>
        <v>0</v>
      </c>
      <c r="AY761" s="487" t="s">
        <v>337</v>
      </c>
      <c r="AZ761" s="487" t="e">
        <f>+VLOOKUP($AJ761,Data_Validation!$A:$E,5,0)</f>
        <v>#N/A</v>
      </c>
    </row>
    <row r="762" spans="1:52" ht="15" hidden="1" customHeight="1">
      <c r="A762" s="706" t="s">
        <v>1147</v>
      </c>
      <c r="B762" s="706">
        <v>2025</v>
      </c>
      <c r="C762" s="706" t="s">
        <v>2768</v>
      </c>
      <c r="D762" s="706" t="s">
        <v>2769</v>
      </c>
      <c r="E762" s="706" t="s">
        <v>1142</v>
      </c>
      <c r="F762" s="706" t="s">
        <v>1151</v>
      </c>
      <c r="G762" s="706">
        <v>4972663.12</v>
      </c>
      <c r="H762" s="706">
        <v>8801172.3800000008</v>
      </c>
      <c r="I762" s="706">
        <v>19622351.420000002</v>
      </c>
      <c r="J762" s="706">
        <v>32836492.559999999</v>
      </c>
      <c r="K762" s="706">
        <v>44627932.789999999</v>
      </c>
      <c r="L762" s="706">
        <v>57769450.590000004</v>
      </c>
      <c r="M762" s="706">
        <v>63667134.869999997</v>
      </c>
      <c r="N762" s="706">
        <v>66521250.469999999</v>
      </c>
      <c r="O762" s="706">
        <v>71348241.409999996</v>
      </c>
      <c r="P762" s="706">
        <v>80767653.829999998</v>
      </c>
      <c r="Q762" s="706">
        <v>90845743.540000007</v>
      </c>
      <c r="R762" s="706">
        <v>94947349.350000009</v>
      </c>
      <c r="S762" s="706">
        <v>8258703.96</v>
      </c>
      <c r="T762" s="706">
        <v>8258703.96</v>
      </c>
      <c r="U762" s="706">
        <v>30741.200000000001</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G64000</v>
      </c>
      <c r="AK762" s="905" t="str">
        <f t="shared" si="73"/>
        <v>COÛTANT PARC CAMIONS</v>
      </c>
      <c r="AL762" s="905">
        <f>IFERROR(INDEX(G762:R762,1,MATCH(Parametres!$B$3,G$1:R$1,0)-1)*IF(OR(F762="L",F762="S",F762="I"),-1,1),"")</f>
        <v>90845743.540000007</v>
      </c>
      <c r="AM762" s="905">
        <f t="shared" si="68"/>
        <v>4101605.8100000024</v>
      </c>
      <c r="AN762" s="905">
        <f>INDEX(G762:R762,1,MATCH(Parametres!$B$3,G$1:R$1,0))*IF(OR(F762="L",F762="S",F762="I"),-1,1)</f>
        <v>94947349.350000009</v>
      </c>
      <c r="AO762" s="487" t="str">
        <f>+VLOOKUP($AJ762,Data_Validation!$A:$D,1,0)</f>
        <v>G64000</v>
      </c>
      <c r="AP762" s="487" t="str">
        <f>+VLOOKUP($AJ762,Data_Validation!$A:$D,3,0)</f>
        <v>Véhicules neufs</v>
      </c>
      <c r="AQ762" s="487" t="str">
        <f>+VLOOKUP($AJ762,Data_Validation!$A:$D,4,0)</f>
        <v>Flottes</v>
      </c>
      <c r="AR762" s="487" t="s">
        <v>299</v>
      </c>
      <c r="AS762" s="487">
        <f>+VLOOKUP($AJ762,Data_Validation!$A:$E,5,0)</f>
        <v>0</v>
      </c>
      <c r="AT762" s="904" t="str">
        <f t="shared" si="69"/>
        <v>G64000</v>
      </c>
      <c r="AU762" s="488" t="str">
        <f t="shared" si="70"/>
        <v>COÛTANT PARC CAMIONS</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1147</v>
      </c>
      <c r="B763" s="706">
        <v>2025</v>
      </c>
      <c r="C763" s="706" t="s">
        <v>2770</v>
      </c>
      <c r="D763" s="706" t="s">
        <v>2771</v>
      </c>
      <c r="E763" s="706" t="s">
        <v>1142</v>
      </c>
      <c r="F763" s="706" t="s">
        <v>1151</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G64100</v>
      </c>
      <c r="AK763" s="905" t="str">
        <f t="shared" si="73"/>
        <v>COUT-CAMIONS INTERNE</v>
      </c>
      <c r="AL763" s="905">
        <f>IFERROR(INDEX(G763:R763,1,MATCH(Parametres!$B$3,G$1:R$1,0)-1)*IF(OR(F763="L",F763="S",F763="I"),-1,1),"")</f>
        <v>0</v>
      </c>
      <c r="AM763" s="905">
        <f t="shared" si="68"/>
        <v>0</v>
      </c>
      <c r="AN763" s="905">
        <f>INDEX(G763:R763,1,MATCH(Parametres!$B$3,G$1:R$1,0))*IF(OR(F763="L",F763="S",F763="I"),-1,1)</f>
        <v>0</v>
      </c>
      <c r="AO763" s="487" t="str">
        <f>+VLOOKUP($AJ763,Data_Validation!$A:$D,1,0)</f>
        <v>G64100</v>
      </c>
      <c r="AP763" s="487" t="str">
        <f>+VLOOKUP($AJ763,Data_Validation!$A:$D,3,0)</f>
        <v>Véhicules neufs</v>
      </c>
      <c r="AQ763" s="487" t="str">
        <f>+VLOOKUP($AJ763,Data_Validation!$A:$D,4,0)</f>
        <v>Flottes</v>
      </c>
      <c r="AR763" s="487" t="s">
        <v>299</v>
      </c>
      <c r="AS763" s="487">
        <f>+VLOOKUP($AJ763,Data_Validation!$A:$E,5,0)</f>
        <v>0</v>
      </c>
      <c r="AT763" s="904" t="str">
        <f t="shared" si="69"/>
        <v>G64100</v>
      </c>
      <c r="AU763" s="488" t="str">
        <f t="shared" si="70"/>
        <v>COUT-CAMIONS INTERNE</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1147</v>
      </c>
      <c r="B764" s="706">
        <v>2025</v>
      </c>
      <c r="C764" s="706" t="s">
        <v>2772</v>
      </c>
      <c r="D764" s="706" t="s">
        <v>2773</v>
      </c>
      <c r="E764" s="706" t="s">
        <v>333</v>
      </c>
      <c r="F764" s="706" t="s">
        <v>1151</v>
      </c>
      <c r="G764" s="706">
        <v>43919.41</v>
      </c>
      <c r="H764" s="706">
        <v>82786.240000000005</v>
      </c>
      <c r="I764" s="706">
        <v>126658.23</v>
      </c>
      <c r="J764" s="706">
        <v>161083.98000000001</v>
      </c>
      <c r="K764" s="706">
        <v>201040.9</v>
      </c>
      <c r="L764" s="706">
        <v>254292.31</v>
      </c>
      <c r="M764" s="706">
        <v>299737.01</v>
      </c>
      <c r="N764" s="706">
        <v>354291.91</v>
      </c>
      <c r="O764" s="706">
        <v>398046.11</v>
      </c>
      <c r="P764" s="706">
        <v>440993.81</v>
      </c>
      <c r="Q764" s="706">
        <v>486615.03</v>
      </c>
      <c r="R764" s="706">
        <v>533481.87</v>
      </c>
      <c r="S764" s="706">
        <v>44237.73</v>
      </c>
      <c r="T764" s="706">
        <v>44237.73</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G64300</v>
      </c>
      <c r="AK764" s="905" t="str">
        <f t="shared" si="73"/>
        <v>COUT-PLAN PROTECTION</v>
      </c>
      <c r="AL764" s="905">
        <f>IFERROR(INDEX(G764:R764,1,MATCH(Parametres!$B$3,G$1:R$1,0)-1)*IF(OR(F764="L",F764="S",F764="I"),-1,1),"")</f>
        <v>486615.03</v>
      </c>
      <c r="AM764" s="905">
        <f t="shared" si="68"/>
        <v>46866.839999999967</v>
      </c>
      <c r="AN764" s="905">
        <f>INDEX(G764:R764,1,MATCH(Parametres!$B$3,G$1:R$1,0))*IF(OR(F764="L",F764="S",F764="I"),-1,1)</f>
        <v>533481.87</v>
      </c>
      <c r="AO764" s="487" t="str">
        <f>+VLOOKUP($AJ764,Data_Validation!$A:$D,1,0)</f>
        <v>G64300</v>
      </c>
      <c r="AP764" s="487" t="str">
        <f>+VLOOKUP($AJ764,Data_Validation!$A:$D,3,0)</f>
        <v>Véhicules neufs</v>
      </c>
      <c r="AQ764" s="487" t="str">
        <f>+VLOOKUP($AJ764,Data_Validation!$A:$D,4,0)</f>
        <v>Rev. Protections</v>
      </c>
      <c r="AR764" s="487" t="s">
        <v>299</v>
      </c>
      <c r="AS764" s="487">
        <f>+VLOOKUP($AJ764,Data_Validation!$A:$E,5,0)</f>
        <v>0</v>
      </c>
      <c r="AT764" s="904" t="str">
        <f t="shared" si="69"/>
        <v>G64300</v>
      </c>
      <c r="AU764" s="488" t="str">
        <f t="shared" si="70"/>
        <v>COUT-PLAN PROTECTION</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1147</v>
      </c>
      <c r="B765" s="706">
        <v>2025</v>
      </c>
      <c r="C765" s="706" t="s">
        <v>2774</v>
      </c>
      <c r="D765" s="706" t="s">
        <v>2775</v>
      </c>
      <c r="E765" s="706" t="s">
        <v>333</v>
      </c>
      <c r="F765" s="706" t="s">
        <v>1151</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G64400</v>
      </c>
      <c r="AK765" s="905" t="str">
        <f t="shared" si="73"/>
        <v>COÛTANT PROTECTION PLUS</v>
      </c>
      <c r="AL765" s="905">
        <f>IFERROR(INDEX(G765:R765,1,MATCH(Parametres!$B$3,G$1:R$1,0)-1)*IF(OR(F765="L",F765="S",F765="I"),-1,1),"")</f>
        <v>0</v>
      </c>
      <c r="AM765" s="905">
        <f t="shared" si="68"/>
        <v>0</v>
      </c>
      <c r="AN765" s="905">
        <f>INDEX(G765:R765,1,MATCH(Parametres!$B$3,G$1:R$1,0))*IF(OR(F765="L",F765="S",F765="I"),-1,1)</f>
        <v>0</v>
      </c>
      <c r="AO765" s="487" t="str">
        <f>+VLOOKUP($AJ765,Data_Validation!$A:$D,1,0)</f>
        <v>G64400</v>
      </c>
      <c r="AP765" s="487" t="str">
        <f>+VLOOKUP($AJ765,Data_Validation!$A:$D,3,0)</f>
        <v>Véhicules neufs</v>
      </c>
      <c r="AQ765" s="487" t="str">
        <f>+VLOOKUP($AJ765,Data_Validation!$A:$D,4,0)</f>
        <v>Rev. Protections</v>
      </c>
      <c r="AR765" s="487" t="s">
        <v>299</v>
      </c>
      <c r="AS765" s="487">
        <f>+VLOOKUP($AJ765,Data_Validation!$A:$E,5,0)</f>
        <v>0</v>
      </c>
      <c r="AT765" s="904" t="str">
        <f t="shared" si="69"/>
        <v>G64400</v>
      </c>
      <c r="AU765" s="488" t="str">
        <f t="shared" si="70"/>
        <v>COÛTANT PROTECTION PLUS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1147</v>
      </c>
      <c r="B766" s="706">
        <v>2025</v>
      </c>
      <c r="C766" s="706" t="s">
        <v>2776</v>
      </c>
      <c r="D766" s="706" t="s">
        <v>2777</v>
      </c>
      <c r="E766" s="706" t="s">
        <v>333</v>
      </c>
      <c r="F766" s="706" t="s">
        <v>1151</v>
      </c>
      <c r="G766" s="706">
        <v>0</v>
      </c>
      <c r="H766" s="706">
        <v>0</v>
      </c>
      <c r="I766" s="706">
        <v>0</v>
      </c>
      <c r="J766" s="706">
        <v>618.29999999999995</v>
      </c>
      <c r="K766" s="706">
        <v>618.29999999999995</v>
      </c>
      <c r="L766" s="706">
        <v>618.29999999999995</v>
      </c>
      <c r="M766" s="706">
        <v>618.29999999999995</v>
      </c>
      <c r="N766" s="706">
        <v>618.29999999999995</v>
      </c>
      <c r="O766" s="706">
        <v>618.29999999999995</v>
      </c>
      <c r="P766" s="706">
        <v>534.70000000000005</v>
      </c>
      <c r="Q766" s="706">
        <v>534.70000000000005</v>
      </c>
      <c r="R766" s="706">
        <v>1511.76</v>
      </c>
      <c r="S766" s="706">
        <v>48.61</v>
      </c>
      <c r="T766" s="706">
        <v>48.61</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G64501</v>
      </c>
      <c r="AK766" s="905" t="str">
        <f t="shared" si="73"/>
        <v>COUT-ANTIROUILLE</v>
      </c>
      <c r="AL766" s="905">
        <f>IFERROR(INDEX(G766:R766,1,MATCH(Parametres!$B$3,G$1:R$1,0)-1)*IF(OR(F766="L",F766="S",F766="I"),-1,1),"")</f>
        <v>534.70000000000005</v>
      </c>
      <c r="AM766" s="905">
        <f t="shared" si="68"/>
        <v>977.06</v>
      </c>
      <c r="AN766" s="905">
        <f>INDEX(G766:R766,1,MATCH(Parametres!$B$3,G$1:R$1,0))*IF(OR(F766="L",F766="S",F766="I"),-1,1)</f>
        <v>1511.76</v>
      </c>
      <c r="AO766" s="487" t="str">
        <f>+VLOOKUP($AJ766,Data_Validation!$A:$D,1,0)</f>
        <v>G64501</v>
      </c>
      <c r="AP766" s="487" t="str">
        <f>+VLOOKUP($AJ766,Data_Validation!$A:$D,3,0)</f>
        <v>Véhicules neufs</v>
      </c>
      <c r="AQ766" s="487" t="str">
        <f>+VLOOKUP($AJ766,Data_Validation!$A:$D,4,0)</f>
        <v>Rev. Autres</v>
      </c>
      <c r="AR766" s="487" t="s">
        <v>299</v>
      </c>
      <c r="AS766" s="487">
        <f>+VLOOKUP($AJ766,Data_Validation!$A:$E,5,0)</f>
        <v>0</v>
      </c>
      <c r="AT766" s="904" t="str">
        <f t="shared" si="69"/>
        <v>G64501</v>
      </c>
      <c r="AU766" s="488" t="str">
        <f t="shared" si="70"/>
        <v>COUT-ANTIROUILLE</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hidden="1" customHeight="1">
      <c r="A767" s="706" t="s">
        <v>1147</v>
      </c>
      <c r="B767" s="706">
        <v>2025</v>
      </c>
      <c r="C767" s="706" t="s">
        <v>2778</v>
      </c>
      <c r="D767" s="706" t="s">
        <v>2386</v>
      </c>
      <c r="E767" s="706" t="s">
        <v>333</v>
      </c>
      <c r="F767" s="706" t="s">
        <v>1151</v>
      </c>
      <c r="G767" s="706">
        <v>3384</v>
      </c>
      <c r="H767" s="706">
        <v>4008</v>
      </c>
      <c r="I767" s="706">
        <v>5130</v>
      </c>
      <c r="J767" s="706">
        <v>4164</v>
      </c>
      <c r="K767" s="706">
        <v>8456</v>
      </c>
      <c r="L767" s="706">
        <v>12793</v>
      </c>
      <c r="M767" s="706">
        <v>13213</v>
      </c>
      <c r="N767" s="706">
        <v>17952</v>
      </c>
      <c r="O767" s="706">
        <v>21630.7</v>
      </c>
      <c r="P767" s="706">
        <v>23463.68</v>
      </c>
      <c r="Q767" s="706">
        <v>26612.49</v>
      </c>
      <c r="R767" s="706">
        <v>27366.240000000002</v>
      </c>
      <c r="S767" s="706">
        <v>2419.3200000000002</v>
      </c>
      <c r="T767" s="706">
        <v>2419.3200000000002</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G64503</v>
      </c>
      <c r="AK767" s="905" t="str">
        <f t="shared" si="73"/>
        <v>V.TEINTÉE-PEINTURE-TISSUS</v>
      </c>
      <c r="AL767" s="905">
        <f>IFERROR(INDEX(G767:R767,1,MATCH(Parametres!$B$3,G$1:R$1,0)-1)*IF(OR(F767="L",F767="S",F767="I"),-1,1),"")</f>
        <v>26612.49</v>
      </c>
      <c r="AM767" s="905">
        <f t="shared" si="68"/>
        <v>753.75</v>
      </c>
      <c r="AN767" s="905">
        <f>INDEX(G767:R767,1,MATCH(Parametres!$B$3,G$1:R$1,0))*IF(OR(F767="L",F767="S",F767="I"),-1,1)</f>
        <v>27366.240000000002</v>
      </c>
      <c r="AO767" s="487" t="str">
        <f>+VLOOKUP($AJ767,Data_Validation!$A:$D,1,0)</f>
        <v>G64503</v>
      </c>
      <c r="AP767" s="487" t="str">
        <f>+VLOOKUP($AJ767,Data_Validation!$A:$D,3,0)</f>
        <v>Véhicules neufs</v>
      </c>
      <c r="AQ767" s="487" t="str">
        <f>+VLOOKUP($AJ767,Data_Validation!$A:$D,4,0)</f>
        <v>Rev. Autres</v>
      </c>
      <c r="AR767" s="487" t="s">
        <v>299</v>
      </c>
      <c r="AS767" s="487">
        <f>+VLOOKUP($AJ767,Data_Validation!$A:$E,5,0)</f>
        <v>0</v>
      </c>
      <c r="AT767" s="904" t="str">
        <f t="shared" si="69"/>
        <v>G64503</v>
      </c>
      <c r="AU767" s="488" t="str">
        <f t="shared" si="70"/>
        <v>V.TEINTÉE-PEINTURE-TISSUS</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hidden="1" customHeight="1">
      <c r="A768" s="706" t="s">
        <v>1147</v>
      </c>
      <c r="B768" s="706">
        <v>2025</v>
      </c>
      <c r="C768" s="706" t="s">
        <v>2779</v>
      </c>
      <c r="D768" s="706" t="s">
        <v>2780</v>
      </c>
      <c r="E768" s="706" t="s">
        <v>333</v>
      </c>
      <c r="F768" s="706" t="s">
        <v>1151</v>
      </c>
      <c r="G768" s="706">
        <v>10419.5</v>
      </c>
      <c r="H768" s="706">
        <v>14891.8</v>
      </c>
      <c r="I768" s="706">
        <v>19093.900000000001</v>
      </c>
      <c r="J768" s="706">
        <v>22500.06</v>
      </c>
      <c r="K768" s="706">
        <v>28361.06</v>
      </c>
      <c r="L768" s="706">
        <v>33113.46</v>
      </c>
      <c r="M768" s="706">
        <v>36182.26</v>
      </c>
      <c r="N768" s="706">
        <v>43404.160000000003</v>
      </c>
      <c r="O768" s="706">
        <v>53663.360000000001</v>
      </c>
      <c r="P768" s="706">
        <v>68643.360000000001</v>
      </c>
      <c r="Q768" s="706">
        <v>80100.259999999995</v>
      </c>
      <c r="R768" s="706">
        <v>90963.56</v>
      </c>
      <c r="S768" s="706">
        <v>7281.84</v>
      </c>
      <c r="T768" s="706">
        <v>7281.84</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G64504</v>
      </c>
      <c r="AK768" s="905" t="str">
        <f t="shared" si="73"/>
        <v>COUT-VALEUR REMPLACEMENT</v>
      </c>
      <c r="AL768" s="905">
        <f>IFERROR(INDEX(G768:R768,1,MATCH(Parametres!$B$3,G$1:R$1,0)-1)*IF(OR(F768="L",F768="S",F768="I"),-1,1),"")</f>
        <v>80100.259999999995</v>
      </c>
      <c r="AM768" s="905">
        <f t="shared" si="68"/>
        <v>10863.300000000003</v>
      </c>
      <c r="AN768" s="905">
        <f>INDEX(G768:R768,1,MATCH(Parametres!$B$3,G$1:R$1,0))*IF(OR(F768="L",F768="S",F768="I"),-1,1)</f>
        <v>90963.56</v>
      </c>
      <c r="AO768" s="487" t="str">
        <f>+VLOOKUP($AJ768,Data_Validation!$A:$D,1,0)</f>
        <v>G64504</v>
      </c>
      <c r="AP768" s="487" t="str">
        <f>+VLOOKUP($AJ768,Data_Validation!$A:$D,3,0)</f>
        <v>Véhicules neufs</v>
      </c>
      <c r="AQ768" s="487" t="str">
        <f>+VLOOKUP($AJ768,Data_Validation!$A:$D,4,0)</f>
        <v>Rev. Protections</v>
      </c>
      <c r="AR768" s="487" t="s">
        <v>299</v>
      </c>
      <c r="AS768" s="487">
        <f>+VLOOKUP($AJ768,Data_Validation!$A:$E,5,0)</f>
        <v>0</v>
      </c>
      <c r="AT768" s="904" t="str">
        <f t="shared" si="69"/>
        <v>G64504</v>
      </c>
      <c r="AU768" s="488" t="str">
        <f t="shared" si="70"/>
        <v>COUT-VALEUR REMPLACEMENT</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hidden="1" customHeight="1">
      <c r="A769" s="706" t="s">
        <v>1147</v>
      </c>
      <c r="B769" s="706">
        <v>2025</v>
      </c>
      <c r="C769" s="706" t="s">
        <v>2781</v>
      </c>
      <c r="D769" s="706" t="s">
        <v>2782</v>
      </c>
      <c r="E769" s="706" t="s">
        <v>333</v>
      </c>
      <c r="F769" s="706" t="s">
        <v>1151</v>
      </c>
      <c r="G769" s="706">
        <v>4620</v>
      </c>
      <c r="H769" s="706">
        <v>7590</v>
      </c>
      <c r="I769" s="706">
        <v>9570</v>
      </c>
      <c r="J769" s="706">
        <v>11550</v>
      </c>
      <c r="K769" s="706">
        <v>16830</v>
      </c>
      <c r="L769" s="706">
        <v>20460</v>
      </c>
      <c r="M769" s="706">
        <v>28380</v>
      </c>
      <c r="N769" s="706">
        <v>35758.959999999999</v>
      </c>
      <c r="O769" s="706">
        <v>38329.96</v>
      </c>
      <c r="P769" s="706">
        <v>39649.96</v>
      </c>
      <c r="Q769" s="706">
        <v>41498.959999999999</v>
      </c>
      <c r="R769" s="706">
        <v>43920.03</v>
      </c>
      <c r="S769" s="706">
        <v>3772.63</v>
      </c>
      <c r="T769" s="706">
        <v>3772.63</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G64505</v>
      </c>
      <c r="AK769" s="905" t="str">
        <f t="shared" si="73"/>
        <v>COUT-ANTIVOL ET TAG</v>
      </c>
      <c r="AL769" s="905">
        <f>IFERROR(INDEX(G769:R769,1,MATCH(Parametres!$B$3,G$1:R$1,0)-1)*IF(OR(F769="L",F769="S",F769="I"),-1,1),"")</f>
        <v>41498.959999999999</v>
      </c>
      <c r="AM769" s="905">
        <f t="shared" si="68"/>
        <v>2421.0699999999997</v>
      </c>
      <c r="AN769" s="905">
        <f>INDEX(G769:R769,1,MATCH(Parametres!$B$3,G$1:R$1,0))*IF(OR(F769="L",F769="S",F769="I"),-1,1)</f>
        <v>43920.03</v>
      </c>
      <c r="AO769" s="487" t="str">
        <f>+VLOOKUP($AJ769,Data_Validation!$A:$D,1,0)</f>
        <v>G64505</v>
      </c>
      <c r="AP769" s="487" t="str">
        <f>+VLOOKUP($AJ769,Data_Validation!$A:$D,3,0)</f>
        <v>Véhicules neufs</v>
      </c>
      <c r="AQ769" s="487" t="str">
        <f>+VLOOKUP($AJ769,Data_Validation!$A:$D,4,0)</f>
        <v>Rev. Autres</v>
      </c>
      <c r="AR769" s="487" t="s">
        <v>299</v>
      </c>
      <c r="AS769" s="487">
        <f>+VLOOKUP($AJ769,Data_Validation!$A:$E,5,0)</f>
        <v>0</v>
      </c>
      <c r="AT769" s="904" t="str">
        <f t="shared" si="69"/>
        <v>G64505</v>
      </c>
      <c r="AU769" s="488" t="str">
        <f t="shared" si="70"/>
        <v>COUT-ANTIVOL ET TAG</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1147</v>
      </c>
      <c r="B770" s="706">
        <v>2025</v>
      </c>
      <c r="C770" s="706" t="s">
        <v>2783</v>
      </c>
      <c r="D770" s="706" t="s">
        <v>2784</v>
      </c>
      <c r="E770" s="706" t="s">
        <v>1142</v>
      </c>
      <c r="F770" s="706" t="s">
        <v>1151</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G64600</v>
      </c>
      <c r="AK770" s="905" t="str">
        <f t="shared" si="73"/>
        <v>COUT-AUTO OCC.DET.OPTIMUM</v>
      </c>
      <c r="AL770" s="905">
        <f>IFERROR(INDEX(G770:R770,1,MATCH(Parametres!$B$3,G$1:R$1,0)-1)*IF(OR(F770="L",F770="S",F770="I"),-1,1),"")</f>
        <v>0</v>
      </c>
      <c r="AM770" s="905">
        <f t="shared" si="68"/>
        <v>0</v>
      </c>
      <c r="AN770" s="905">
        <f>INDEX(G770:R770,1,MATCH(Parametres!$B$3,G$1:R$1,0))*IF(OR(F770="L",F770="S",F770="I"),-1,1)</f>
        <v>0</v>
      </c>
      <c r="AO770" s="487" t="str">
        <f>+VLOOKUP($AJ770,Data_Validation!$A:$D,1,0)</f>
        <v>G64600</v>
      </c>
      <c r="AP770" s="487" t="str">
        <f>+VLOOKUP($AJ770,Data_Validation!$A:$D,3,0)</f>
        <v>Véhicules usagés</v>
      </c>
      <c r="AQ770" s="487" t="str">
        <f>+VLOOKUP($AJ770,Data_Validation!$A:$D,4,0)</f>
        <v>Certifié</v>
      </c>
      <c r="AR770" s="487" t="s">
        <v>299</v>
      </c>
      <c r="AS770" s="487">
        <f>+VLOOKUP($AJ770,Data_Validation!$A:$E,5,0)</f>
        <v>0</v>
      </c>
      <c r="AT770" s="904" t="str">
        <f t="shared" si="69"/>
        <v>G64600</v>
      </c>
      <c r="AU770" s="488" t="str">
        <f t="shared" si="70"/>
        <v>COUT-AUTO OCC.DET.OPTIMUM</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hidden="1" customHeight="1">
      <c r="A771" s="706" t="s">
        <v>1147</v>
      </c>
      <c r="B771" s="706">
        <v>2025</v>
      </c>
      <c r="C771" s="706" t="s">
        <v>2785</v>
      </c>
      <c r="D771" s="706" t="s">
        <v>2786</v>
      </c>
      <c r="E771" s="706" t="s">
        <v>1142</v>
      </c>
      <c r="F771" s="706" t="s">
        <v>1151</v>
      </c>
      <c r="G771" s="706">
        <v>56018.28</v>
      </c>
      <c r="H771" s="706">
        <v>268723.23</v>
      </c>
      <c r="I771" s="706">
        <v>402698.33</v>
      </c>
      <c r="J771" s="706">
        <v>535980.68999999994</v>
      </c>
      <c r="K771" s="706">
        <v>581372.28</v>
      </c>
      <c r="L771" s="706">
        <v>665745.19999999995</v>
      </c>
      <c r="M771" s="706">
        <v>742255.06</v>
      </c>
      <c r="N771" s="706">
        <v>788417.23</v>
      </c>
      <c r="O771" s="706">
        <v>865383.82</v>
      </c>
      <c r="P771" s="706">
        <v>917052.72</v>
      </c>
      <c r="Q771" s="706">
        <v>917794.19</v>
      </c>
      <c r="R771" s="706">
        <v>917794.19</v>
      </c>
      <c r="S771" s="706">
        <v>83435.839999999997</v>
      </c>
      <c r="T771" s="706">
        <v>83435.839999999997</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G64601</v>
      </c>
      <c r="AK771" s="905" t="str">
        <f t="shared" si="73"/>
        <v>COUT-AUTO OCC.DET.AUTRES</v>
      </c>
      <c r="AL771" s="905">
        <f>IFERROR(INDEX(G771:R771,1,MATCH(Parametres!$B$3,G$1:R$1,0)-1)*IF(OR(F771="L",F771="S",F771="I"),-1,1),"")</f>
        <v>917794.19</v>
      </c>
      <c r="AM771" s="905">
        <f t="shared" si="68"/>
        <v>0</v>
      </c>
      <c r="AN771" s="905">
        <f>INDEX(G771:R771,1,MATCH(Parametres!$B$3,G$1:R$1,0))*IF(OR(F771="L",F771="S",F771="I"),-1,1)</f>
        <v>917794.19</v>
      </c>
      <c r="AO771" s="487" t="str">
        <f>+VLOOKUP($AJ771,Data_Validation!$A:$D,1,0)</f>
        <v>G64601</v>
      </c>
      <c r="AP771" s="487" t="str">
        <f>+VLOOKUP($AJ771,Data_Validation!$A:$D,3,0)</f>
        <v>Véhicules usagés</v>
      </c>
      <c r="AQ771" s="487" t="str">
        <f>+VLOOKUP($AJ771,Data_Validation!$A:$D,4,0)</f>
        <v>Non Certifié</v>
      </c>
      <c r="AR771" s="487" t="s">
        <v>299</v>
      </c>
      <c r="AS771" s="487">
        <f>+VLOOKUP($AJ771,Data_Validation!$A:$E,5,0)</f>
        <v>0</v>
      </c>
      <c r="AT771" s="904" t="str">
        <f t="shared" si="69"/>
        <v>G64601</v>
      </c>
      <c r="AU771" s="488" t="str">
        <f t="shared" si="70"/>
        <v>COUT-AUTO OCC.DET.AUTRES</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1147</v>
      </c>
      <c r="B772" s="706">
        <v>2025</v>
      </c>
      <c r="C772" s="706" t="s">
        <v>2787</v>
      </c>
      <c r="D772" s="706" t="s">
        <v>2788</v>
      </c>
      <c r="E772" s="706" t="s">
        <v>1142</v>
      </c>
      <c r="F772" s="706" t="s">
        <v>1151</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G64620</v>
      </c>
      <c r="AK772" s="905" t="str">
        <f t="shared" si="73"/>
        <v>COUT-LOC.AUTO USAGE OPT.</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G64620</v>
      </c>
      <c r="AP772" s="487" t="str">
        <f>+VLOOKUP($AJ772,Data_Validation!$A:$D,3,0)</f>
        <v>Véhicules usagés</v>
      </c>
      <c r="AQ772" s="487" t="str">
        <f>+VLOOKUP($AJ772,Data_Validation!$A:$D,4,0)</f>
        <v>Certifié</v>
      </c>
      <c r="AR772" s="487" t="s">
        <v>299</v>
      </c>
      <c r="AS772" s="487">
        <f>+VLOOKUP($AJ772,Data_Validation!$A:$E,5,0)</f>
        <v>0</v>
      </c>
      <c r="AT772" s="904" t="str">
        <f t="shared" ref="AT772:AT794" si="75">C772</f>
        <v>G64620</v>
      </c>
      <c r="AU772" s="488" t="str">
        <f t="shared" ref="AU772:AU794" si="76">D772</f>
        <v>COUT-LOC.AUTO USAGE OPT.</v>
      </c>
      <c r="AV772" s="899">
        <f>IFERROR(INDEX(V772:AG772,1,MATCH(Parametres!$B$3,V$1:AG$1,0)-1)*IF(OR(C772="L",C772="S",C772="I"),-1,1),"")</f>
        <v>0</v>
      </c>
      <c r="AW772" s="899">
        <f t="shared" ref="AW772:AW794" si="77">AX772-AV772</f>
        <v>0</v>
      </c>
      <c r="AX772" s="899">
        <f>INDEX(V772:AG772,1,MATCH(Parametres!$B$3,V$1:AG$1,0))*IF(OR(C772="L",C772="S",C772="I"),-1,1)</f>
        <v>0</v>
      </c>
      <c r="AY772" s="487" t="s">
        <v>337</v>
      </c>
      <c r="AZ772" s="487">
        <f>+VLOOKUP($AJ772,Data_Validation!$A:$E,5,0)</f>
        <v>0</v>
      </c>
    </row>
    <row r="773" spans="1:52" ht="15" customHeight="1">
      <c r="A773" s="706" t="s">
        <v>1147</v>
      </c>
      <c r="B773" s="706">
        <v>2025</v>
      </c>
      <c r="C773" s="706" t="s">
        <v>2789</v>
      </c>
      <c r="D773" s="706" t="s">
        <v>2790</v>
      </c>
      <c r="E773" s="706" t="s">
        <v>333</v>
      </c>
      <c r="F773" s="706" t="s">
        <v>1151</v>
      </c>
      <c r="G773" s="706">
        <v>0</v>
      </c>
      <c r="H773" s="706">
        <v>0</v>
      </c>
      <c r="I773" s="706">
        <v>0</v>
      </c>
      <c r="J773" s="706">
        <v>0</v>
      </c>
      <c r="K773" s="706">
        <v>0</v>
      </c>
      <c r="L773" s="706">
        <v>0</v>
      </c>
      <c r="M773" s="706">
        <v>0</v>
      </c>
      <c r="N773" s="706">
        <v>0</v>
      </c>
      <c r="O773" s="706">
        <v>0</v>
      </c>
      <c r="P773" s="706">
        <v>0</v>
      </c>
      <c r="Q773" s="706">
        <v>0</v>
      </c>
      <c r="R773" s="706">
        <v>0</v>
      </c>
      <c r="S773" s="706">
        <v>0</v>
      </c>
      <c r="T773" s="706">
        <v>0</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G64700</v>
      </c>
      <c r="AK773" s="905" t="str">
        <f t="shared" si="73"/>
        <v>REMISE NEUF VOIT.DET.OPT</v>
      </c>
      <c r="AL773" s="905">
        <f>IFERROR(INDEX(G773:R773,1,MATCH(Parametres!$B$3,G$1:R$1,0)-1)*IF(OR(F773="L",F773="S",F773="I"),-1,1),"")</f>
        <v>0</v>
      </c>
      <c r="AM773" s="905">
        <f t="shared" si="74"/>
        <v>0</v>
      </c>
      <c r="AN773" s="905">
        <f>INDEX(G773:R773,1,MATCH(Parametres!$B$3,G$1:R$1,0))*IF(OR(F773="L",F773="S",F773="I"),-1,1)</f>
        <v>0</v>
      </c>
      <c r="AO773" s="487" t="str">
        <f>+VLOOKUP($AJ773,Data_Validation!$A:$D,1,0)</f>
        <v>G64700</v>
      </c>
      <c r="AP773" s="487">
        <f>+VLOOKUP($AJ773,Data_Validation!$A:$D,3,0)</f>
        <v>0</v>
      </c>
      <c r="AQ773" s="487">
        <f>+VLOOKUP($AJ773,Data_Validation!$A:$D,4,0)</f>
        <v>0</v>
      </c>
      <c r="AR773" s="487" t="s">
        <v>299</v>
      </c>
      <c r="AS773" s="487">
        <f>+VLOOKUP($AJ773,Data_Validation!$A:$E,5,0)</f>
        <v>0</v>
      </c>
      <c r="AT773" s="904" t="str">
        <f t="shared" si="75"/>
        <v>G64700</v>
      </c>
      <c r="AU773" s="488" t="str">
        <f t="shared" si="76"/>
        <v>REMISE NEUF VOIT.DET.OPT</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1147</v>
      </c>
      <c r="B774" s="706">
        <v>2025</v>
      </c>
      <c r="C774" s="706" t="s">
        <v>2791</v>
      </c>
      <c r="D774" s="706" t="s">
        <v>2792</v>
      </c>
      <c r="E774" s="706" t="s">
        <v>333</v>
      </c>
      <c r="F774" s="706" t="s">
        <v>1151</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G64701</v>
      </c>
      <c r="AK774" s="905" t="str">
        <f t="shared" si="73"/>
        <v>REMISE NEUF VOIT.DET.AUTR</v>
      </c>
      <c r="AL774" s="905">
        <f>IFERROR(INDEX(G774:R774,1,MATCH(Parametres!$B$3,G$1:R$1,0)-1)*IF(OR(F774="L",F774="S",F774="I"),-1,1),"")</f>
        <v>0</v>
      </c>
      <c r="AM774" s="905">
        <f t="shared" si="74"/>
        <v>0</v>
      </c>
      <c r="AN774" s="905">
        <f>INDEX(G774:R774,1,MATCH(Parametres!$B$3,G$1:R$1,0))*IF(OR(F774="L",F774="S",F774="I"),-1,1)</f>
        <v>0</v>
      </c>
      <c r="AO774" s="487" t="str">
        <f>+VLOOKUP($AJ774,Data_Validation!$A:$D,1,0)</f>
        <v>G64701</v>
      </c>
      <c r="AP774" s="487">
        <f>+VLOOKUP($AJ774,Data_Validation!$A:$D,3,0)</f>
        <v>0</v>
      </c>
      <c r="AQ774" s="487">
        <f>+VLOOKUP($AJ774,Data_Validation!$A:$D,4,0)</f>
        <v>0</v>
      </c>
      <c r="AR774" s="487" t="s">
        <v>299</v>
      </c>
      <c r="AS774" s="487">
        <f>+VLOOKUP($AJ774,Data_Validation!$A:$E,5,0)</f>
        <v>0</v>
      </c>
      <c r="AT774" s="904" t="str">
        <f t="shared" si="75"/>
        <v>G64701</v>
      </c>
      <c r="AU774" s="488" t="str">
        <f t="shared" si="76"/>
        <v>REMISE NEUF VOIT.DET.AUTR</v>
      </c>
      <c r="AV774" s="899">
        <f>IFERROR(INDEX(V774:AG774,1,MATCH(Parametres!$B$3,V$1:AG$1,0)-1)*IF(OR(C774="L",C774="S",C774="I"),-1,1),"")</f>
        <v>0</v>
      </c>
      <c r="AW774" s="899">
        <f t="shared" si="77"/>
        <v>0</v>
      </c>
      <c r="AX774" s="899">
        <f>INDEX(V774:AG774,1,MATCH(Parametres!$B$3,V$1:AG$1,0))*IF(OR(C774="L",C774="S",C774="I"),-1,1)</f>
        <v>0</v>
      </c>
      <c r="AY774" s="487" t="s">
        <v>337</v>
      </c>
      <c r="AZ774" s="487">
        <f>+VLOOKUP($AJ774,Data_Validation!$A:$E,5,0)</f>
        <v>0</v>
      </c>
    </row>
    <row r="775" spans="1:52" ht="15" customHeight="1">
      <c r="A775" s="706" t="s">
        <v>1147</v>
      </c>
      <c r="B775" s="706">
        <v>2025</v>
      </c>
      <c r="C775" s="706" t="s">
        <v>2793</v>
      </c>
      <c r="D775" s="706" t="s">
        <v>2794</v>
      </c>
      <c r="E775" s="706" t="s">
        <v>333</v>
      </c>
      <c r="F775" s="706" t="s">
        <v>1151</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G64720</v>
      </c>
      <c r="AK775" s="905" t="str">
        <f t="shared" si="73"/>
        <v>REM.NEUF LOC.AUTO DET.OPT</v>
      </c>
      <c r="AL775" s="905">
        <f>IFERROR(INDEX(G775:R775,1,MATCH(Parametres!$B$3,G$1:R$1,0)-1)*IF(OR(F775="L",F775="S",F775="I"),-1,1),"")</f>
        <v>0</v>
      </c>
      <c r="AM775" s="905">
        <f t="shared" si="74"/>
        <v>0</v>
      </c>
      <c r="AN775" s="905">
        <f>INDEX(G775:R775,1,MATCH(Parametres!$B$3,G$1:R$1,0))*IF(OR(F775="L",F775="S",F775="I"),-1,1)</f>
        <v>0</v>
      </c>
      <c r="AO775" s="487" t="str">
        <f>+VLOOKUP($AJ775,Data_Validation!$A:$D,1,0)</f>
        <v>G64720</v>
      </c>
      <c r="AP775" s="487">
        <f>+VLOOKUP($AJ775,Data_Validation!$A:$D,3,0)</f>
        <v>0</v>
      </c>
      <c r="AQ775" s="487">
        <f>+VLOOKUP($AJ775,Data_Validation!$A:$D,4,0)</f>
        <v>0</v>
      </c>
      <c r="AR775" s="487" t="s">
        <v>299</v>
      </c>
      <c r="AS775" s="487">
        <f>+VLOOKUP($AJ775,Data_Validation!$A:$E,5,0)</f>
        <v>0</v>
      </c>
      <c r="AT775" s="904" t="str">
        <f t="shared" si="75"/>
        <v>G64720</v>
      </c>
      <c r="AU775" s="488" t="str">
        <f t="shared" si="76"/>
        <v>REM.NEUF LOC.AUTO 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hidden="1" customHeight="1">
      <c r="A776" s="706" t="s">
        <v>1147</v>
      </c>
      <c r="B776" s="706">
        <v>2025</v>
      </c>
      <c r="C776" s="706" t="s">
        <v>2795</v>
      </c>
      <c r="D776" s="706" t="s">
        <v>2796</v>
      </c>
      <c r="E776" s="706" t="s">
        <v>1142</v>
      </c>
      <c r="F776" s="706" t="s">
        <v>1151</v>
      </c>
      <c r="G776" s="706">
        <v>44864</v>
      </c>
      <c r="H776" s="706">
        <v>79551.25</v>
      </c>
      <c r="I776" s="706">
        <v>277328.21000000002</v>
      </c>
      <c r="J776" s="706">
        <v>570744.94999999995</v>
      </c>
      <c r="K776" s="706">
        <v>836905.22</v>
      </c>
      <c r="L776" s="706">
        <v>891151.38</v>
      </c>
      <c r="M776" s="706">
        <v>910927.38</v>
      </c>
      <c r="N776" s="706">
        <v>970427.38</v>
      </c>
      <c r="O776" s="706">
        <v>1213350.8500000001</v>
      </c>
      <c r="P776" s="706">
        <v>1303571.0900000001</v>
      </c>
      <c r="Q776" s="706">
        <v>1356956.09</v>
      </c>
      <c r="R776" s="706">
        <v>1588095.09</v>
      </c>
      <c r="S776" s="706">
        <v>123359.64</v>
      </c>
      <c r="T776" s="706">
        <v>123359.64</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G64800</v>
      </c>
      <c r="AK776" s="905" t="str">
        <f t="shared" si="73"/>
        <v>COUT-AUTOS USAGES EN GROS</v>
      </c>
      <c r="AL776" s="905">
        <f>IFERROR(INDEX(G776:R776,1,MATCH(Parametres!$B$3,G$1:R$1,0)-1)*IF(OR(F776="L",F776="S",F776="I"),-1,1),"")</f>
        <v>1356956.09</v>
      </c>
      <c r="AM776" s="905">
        <f t="shared" si="74"/>
        <v>231139</v>
      </c>
      <c r="AN776" s="905">
        <f>INDEX(G776:R776,1,MATCH(Parametres!$B$3,G$1:R$1,0))*IF(OR(F776="L",F776="S",F776="I"),-1,1)</f>
        <v>1588095.09</v>
      </c>
      <c r="AO776" s="487" t="str">
        <f>+VLOOKUP($AJ776,Data_Validation!$A:$D,1,0)</f>
        <v>G64800</v>
      </c>
      <c r="AP776" s="487" t="str">
        <f>+VLOOKUP($AJ776,Data_Validation!$A:$D,3,0)</f>
        <v>Véhicules usagés</v>
      </c>
      <c r="AQ776" s="487" t="str">
        <f>+VLOOKUP($AJ776,Data_Validation!$A:$D,4,0)</f>
        <v>Ventes au Gros</v>
      </c>
      <c r="AR776" s="487" t="s">
        <v>299</v>
      </c>
      <c r="AS776" s="487">
        <f>+VLOOKUP($AJ776,Data_Validation!$A:$E,5,0)</f>
        <v>0</v>
      </c>
      <c r="AT776" s="904" t="str">
        <f t="shared" si="75"/>
        <v>G64800</v>
      </c>
      <c r="AU776" s="488" t="str">
        <f t="shared" si="76"/>
        <v>COUT-AUTOS USAGES EN GROS</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1147</v>
      </c>
      <c r="B777" s="706">
        <v>2025</v>
      </c>
      <c r="C777" s="706" t="s">
        <v>2797</v>
      </c>
      <c r="D777" s="706" t="s">
        <v>2798</v>
      </c>
      <c r="E777" s="706" t="s">
        <v>333</v>
      </c>
      <c r="F777" s="706" t="s">
        <v>1151</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G64900</v>
      </c>
      <c r="AK777" s="905" t="str">
        <f t="shared" si="73"/>
        <v>RECTIFICATION STOCK AUTO</v>
      </c>
      <c r="AL777" s="905">
        <f>IFERROR(INDEX(G777:R777,1,MATCH(Parametres!$B$3,G$1:R$1,0)-1)*IF(OR(F777="L",F777="S",F777="I"),-1,1),"")</f>
        <v>0</v>
      </c>
      <c r="AM777" s="905">
        <f t="shared" si="74"/>
        <v>0</v>
      </c>
      <c r="AN777" s="905">
        <f>INDEX(G777:R777,1,MATCH(Parametres!$B$3,G$1:R$1,0))*IF(OR(F777="L",F777="S",F777="I"),-1,1)</f>
        <v>0</v>
      </c>
      <c r="AO777" s="487" t="str">
        <f>+VLOOKUP($AJ777,Data_Validation!$A:$D,1,0)</f>
        <v>G64900</v>
      </c>
      <c r="AP777" s="487">
        <f>+VLOOKUP($AJ777,Data_Validation!$A:$D,3,0)</f>
        <v>0</v>
      </c>
      <c r="AQ777" s="487">
        <f>+VLOOKUP($AJ777,Data_Validation!$A:$D,4,0)</f>
        <v>0</v>
      </c>
      <c r="AR777" s="487" t="s">
        <v>299</v>
      </c>
      <c r="AS777" s="487">
        <f>+VLOOKUP($AJ777,Data_Validation!$A:$E,5,0)</f>
        <v>0</v>
      </c>
      <c r="AT777" s="904" t="str">
        <f t="shared" si="75"/>
        <v>G64900</v>
      </c>
      <c r="AU777" s="488" t="str">
        <f t="shared" si="76"/>
        <v>RECTIFICATION STOCK AUTO</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1147</v>
      </c>
      <c r="B778" s="706">
        <v>2025</v>
      </c>
      <c r="C778" s="706" t="s">
        <v>2799</v>
      </c>
      <c r="D778" s="706" t="s">
        <v>2800</v>
      </c>
      <c r="E778" s="706" t="s">
        <v>1142</v>
      </c>
      <c r="F778" s="706" t="s">
        <v>1151</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G65000</v>
      </c>
      <c r="AK778" s="905" t="str">
        <f t="shared" si="73"/>
        <v>COUT-OCC.DETAIL    *WSALE</v>
      </c>
      <c r="AL778" s="905">
        <f>IFERROR(INDEX(G778:R778,1,MATCH(Parametres!$B$3,G$1:R$1,0)-1)*IF(OR(F778="L",F778="S",F778="I"),-1,1),"")</f>
        <v>0</v>
      </c>
      <c r="AM778" s="905">
        <f t="shared" si="74"/>
        <v>0</v>
      </c>
      <c r="AN778" s="905">
        <f>INDEX(G778:R778,1,MATCH(Parametres!$B$3,G$1:R$1,0))*IF(OR(F778="L",F778="S",F778="I"),-1,1)</f>
        <v>0</v>
      </c>
      <c r="AO778" s="487" t="str">
        <f>+VLOOKUP($AJ778,Data_Validation!$A:$D,1,0)</f>
        <v>G65000</v>
      </c>
      <c r="AP778" s="487" t="str">
        <f>+VLOOKUP($AJ778,Data_Validation!$A:$D,3,0)</f>
        <v>Véhicules usagés</v>
      </c>
      <c r="AQ778" s="487" t="str">
        <f>+VLOOKUP($AJ778,Data_Validation!$A:$D,4,0)</f>
        <v>Ventes au Gros</v>
      </c>
      <c r="AR778" s="487" t="s">
        <v>299</v>
      </c>
      <c r="AS778" s="487" t="str">
        <f>+VLOOKUP($AJ778,Data_Validation!$A:$E,5,0)</f>
        <v>Oui</v>
      </c>
      <c r="AT778" s="904" t="str">
        <f t="shared" si="75"/>
        <v>G65000</v>
      </c>
      <c r="AU778" s="488" t="str">
        <f t="shared" si="76"/>
        <v>COUT-OCC.DETAIL    *WSALE</v>
      </c>
      <c r="AV778" s="899">
        <f>IFERROR(INDEX(V778:AG778,1,MATCH(Parametres!$B$3,V$1:AG$1,0)-1)*IF(OR(C778="L",C778="S",C778="I"),-1,1),"")</f>
        <v>0</v>
      </c>
      <c r="AW778" s="899">
        <f t="shared" si="77"/>
        <v>0</v>
      </c>
      <c r="AX778" s="899">
        <f>INDEX(V778:AG778,1,MATCH(Parametres!$B$3,V$1:AG$1,0))*IF(OR(C778="L",C778="S",C778="I"),-1,1)</f>
        <v>0</v>
      </c>
      <c r="AY778" s="487" t="s">
        <v>337</v>
      </c>
      <c r="AZ778" s="487" t="str">
        <f>+VLOOKUP($AJ778,Data_Validation!$A:$E,5,0)</f>
        <v>Oui</v>
      </c>
    </row>
    <row r="779" spans="1:52" ht="15" hidden="1" customHeight="1">
      <c r="A779" s="706" t="s">
        <v>1147</v>
      </c>
      <c r="B779" s="706">
        <v>2025</v>
      </c>
      <c r="C779" s="706" t="s">
        <v>2801</v>
      </c>
      <c r="D779" s="706" t="s">
        <v>2802</v>
      </c>
      <c r="E779" s="706" t="s">
        <v>1142</v>
      </c>
      <c r="F779" s="706" t="s">
        <v>1151</v>
      </c>
      <c r="G779" s="706">
        <v>0</v>
      </c>
      <c r="H779" s="706">
        <v>24484.28</v>
      </c>
      <c r="I779" s="706">
        <v>189360.83</v>
      </c>
      <c r="J779" s="706">
        <v>264551.09000000003</v>
      </c>
      <c r="K779" s="706">
        <v>483200.98</v>
      </c>
      <c r="L779" s="706">
        <v>555027.94999999995</v>
      </c>
      <c r="M779" s="706">
        <v>827073.06</v>
      </c>
      <c r="N779" s="706">
        <v>1249513.92</v>
      </c>
      <c r="O779" s="706">
        <v>1689443.1</v>
      </c>
      <c r="P779" s="706">
        <v>2541413.25</v>
      </c>
      <c r="Q779" s="706">
        <v>2822899.24</v>
      </c>
      <c r="R779" s="706">
        <v>3369704.53</v>
      </c>
      <c r="S779" s="706">
        <v>256627.20000000001</v>
      </c>
      <c r="T779" s="706">
        <v>256627.20000000001</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G65001</v>
      </c>
      <c r="AK779" s="905" t="str">
        <f t="shared" si="73"/>
        <v>COUT-CAMION OCC.DET.AUTR</v>
      </c>
      <c r="AL779" s="905">
        <f>IFERROR(INDEX(G779:R779,1,MATCH(Parametres!$B$3,G$1:R$1,0)-1)*IF(OR(F779="L",F779="S",F779="I"),-1,1),"")</f>
        <v>2822899.24</v>
      </c>
      <c r="AM779" s="905">
        <f t="shared" si="74"/>
        <v>546805.28999999957</v>
      </c>
      <c r="AN779" s="905">
        <f>INDEX(G779:R779,1,MATCH(Parametres!$B$3,G$1:R$1,0))*IF(OR(F779="L",F779="S",F779="I"),-1,1)</f>
        <v>3369704.53</v>
      </c>
      <c r="AO779" s="487" t="str">
        <f>+VLOOKUP($AJ779,Data_Validation!$A:$D,1,0)</f>
        <v>G65001</v>
      </c>
      <c r="AP779" s="487" t="str">
        <f>+VLOOKUP($AJ779,Data_Validation!$A:$D,3,0)</f>
        <v>Véhicules usagés</v>
      </c>
      <c r="AQ779" s="487" t="str">
        <f>+VLOOKUP($AJ779,Data_Validation!$A:$D,4,0)</f>
        <v>Non Certifié</v>
      </c>
      <c r="AR779" s="487" t="s">
        <v>299</v>
      </c>
      <c r="AS779" s="487">
        <f>+VLOOKUP($AJ779,Data_Validation!$A:$E,5,0)</f>
        <v>0</v>
      </c>
      <c r="AT779" s="904" t="str">
        <f t="shared" si="75"/>
        <v>G65001</v>
      </c>
      <c r="AU779" s="488" t="str">
        <f t="shared" si="76"/>
        <v>COUT-CAMION OCC.DET.AUTR</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hidden="1" customHeight="1">
      <c r="A780" s="706" t="s">
        <v>1147</v>
      </c>
      <c r="B780" s="706">
        <v>2025</v>
      </c>
      <c r="C780" s="706" t="s">
        <v>2803</v>
      </c>
      <c r="D780" s="706" t="s">
        <v>2804</v>
      </c>
      <c r="E780" s="706" t="s">
        <v>1142</v>
      </c>
      <c r="F780" s="706" t="s">
        <v>1151</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G65020</v>
      </c>
      <c r="AK780" s="905" t="str">
        <f t="shared" si="73"/>
        <v>COUT-LOC.CAM.USAGE OPT.</v>
      </c>
      <c r="AL780" s="905">
        <f>IFERROR(INDEX(G780:R780,1,MATCH(Parametres!$B$3,G$1:R$1,0)-1)*IF(OR(F780="L",F780="S",F780="I"),-1,1),"")</f>
        <v>0</v>
      </c>
      <c r="AM780" s="905">
        <f t="shared" si="74"/>
        <v>0</v>
      </c>
      <c r="AN780" s="905">
        <f>INDEX(G780:R780,1,MATCH(Parametres!$B$3,G$1:R$1,0))*IF(OR(F780="L",F780="S",F780="I"),-1,1)</f>
        <v>0</v>
      </c>
      <c r="AO780" s="487" t="e">
        <f>+VLOOKUP($AJ780,Data_Validation!$A:$D,1,0)</f>
        <v>#N/A</v>
      </c>
      <c r="AP780" s="487" t="s">
        <v>667</v>
      </c>
      <c r="AQ780" s="487" t="s">
        <v>212</v>
      </c>
      <c r="AR780" s="487" t="s">
        <v>299</v>
      </c>
      <c r="AS780" s="487" t="e">
        <f>+VLOOKUP($AJ780,Data_Validation!$A:$E,5,0)</f>
        <v>#N/A</v>
      </c>
      <c r="AT780" s="904" t="str">
        <f t="shared" ref="AT780" si="78">C780</f>
        <v>G65020</v>
      </c>
      <c r="AU780" s="488" t="str">
        <f t="shared" ref="AU780" si="79">D780</f>
        <v>COUT-LOC.CAM.USAGE OPT.</v>
      </c>
      <c r="AV780" s="899">
        <f>IFERROR(INDEX(V780:AG780,1,MATCH(Parametres!$B$3,V$1:AG$1,0)-1)*IF(OR(C780="L",C780="S",C780="I"),-1,1),"")</f>
        <v>0</v>
      </c>
      <c r="AW780" s="899">
        <f t="shared" ref="AW780" si="80">AX780-AV780</f>
        <v>0</v>
      </c>
      <c r="AX780" s="899">
        <f>INDEX(V780:AG780,1,MATCH(Parametres!$B$3,V$1:AG$1,0))*IF(OR(C780="L",C780="S",C780="I"),-1,1)</f>
        <v>0</v>
      </c>
      <c r="AY780" s="487" t="s">
        <v>337</v>
      </c>
      <c r="AZ780" s="487" t="e">
        <f>+VLOOKUP($AJ780,Data_Validation!$A:$E,5,0)</f>
        <v>#N/A</v>
      </c>
    </row>
    <row r="781" spans="1:52" ht="15" customHeight="1">
      <c r="A781" s="706" t="s">
        <v>1147</v>
      </c>
      <c r="B781" s="706">
        <v>2025</v>
      </c>
      <c r="C781" s="706" t="s">
        <v>2805</v>
      </c>
      <c r="D781" s="706" t="s">
        <v>2806</v>
      </c>
      <c r="E781" s="706" t="s">
        <v>333</v>
      </c>
      <c r="F781" s="706" t="s">
        <v>1151</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G65100</v>
      </c>
      <c r="AK781" s="905" t="str">
        <f t="shared" si="73"/>
        <v>REMISE NEUF CAM.DET.OPT.</v>
      </c>
      <c r="AL781" s="905">
        <f>IFERROR(INDEX(G781:R781,1,MATCH(Parametres!$B$3,G$1:R$1,0)-1)*IF(OR(F781="L",F781="S",F781="I"),-1,1),"")</f>
        <v>0</v>
      </c>
      <c r="AM781" s="905">
        <f t="shared" si="74"/>
        <v>0</v>
      </c>
      <c r="AN781" s="905">
        <f>INDEX(G781:R781,1,MATCH(Parametres!$B$3,G$1:R$1,0))*IF(OR(F781="L",F781="S",F781="I"),-1,1)</f>
        <v>0</v>
      </c>
      <c r="AO781" s="487" t="str">
        <f>+VLOOKUP($AJ781,Data_Validation!$A:$D,1,0)</f>
        <v>G65100</v>
      </c>
      <c r="AP781" s="487">
        <f>+VLOOKUP($AJ781,Data_Validation!$A:$D,3,0)</f>
        <v>0</v>
      </c>
      <c r="AQ781" s="487">
        <f>+VLOOKUP($AJ781,Data_Validation!$A:$D,4,0)</f>
        <v>0</v>
      </c>
      <c r="AR781" s="487" t="s">
        <v>299</v>
      </c>
      <c r="AS781" s="487">
        <f>+VLOOKUP($AJ781,Data_Validation!$A:$E,5,0)</f>
        <v>0</v>
      </c>
      <c r="AT781" s="904" t="str">
        <f t="shared" si="75"/>
        <v>G65100</v>
      </c>
      <c r="AU781" s="488" t="str">
        <f t="shared" si="76"/>
        <v>REMISE NEUF CAM.DET.OPT.</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customHeight="1">
      <c r="A782" s="706" t="s">
        <v>1147</v>
      </c>
      <c r="B782" s="706">
        <v>2025</v>
      </c>
      <c r="C782" s="706" t="s">
        <v>2807</v>
      </c>
      <c r="D782" s="706" t="s">
        <v>2808</v>
      </c>
      <c r="E782" s="706" t="s">
        <v>333</v>
      </c>
      <c r="F782" s="706" t="s">
        <v>1151</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G65101</v>
      </c>
      <c r="AK782" s="905" t="str">
        <f t="shared" si="73"/>
        <v>REMISE NEUF CAM.DET.AUTRE</v>
      </c>
      <c r="AL782" s="905">
        <f>IFERROR(INDEX(G782:R782,1,MATCH(Parametres!$B$3,G$1:R$1,0)-1)*IF(OR(F782="L",F782="S",F782="I"),-1,1),"")</f>
        <v>0</v>
      </c>
      <c r="AM782" s="905">
        <f t="shared" si="74"/>
        <v>0</v>
      </c>
      <c r="AN782" s="905">
        <f>INDEX(G782:R782,1,MATCH(Parametres!$B$3,G$1:R$1,0))*IF(OR(F782="L",F782="S",F782="I"),-1,1)</f>
        <v>0</v>
      </c>
      <c r="AO782" s="487" t="str">
        <f>+VLOOKUP($AJ782,Data_Validation!$A:$D,1,0)</f>
        <v>G65101</v>
      </c>
      <c r="AP782" s="487">
        <f>+VLOOKUP($AJ782,Data_Validation!$A:$D,3,0)</f>
        <v>0</v>
      </c>
      <c r="AQ782" s="487">
        <f>+VLOOKUP($AJ782,Data_Validation!$A:$D,4,0)</f>
        <v>0</v>
      </c>
      <c r="AR782" s="487" t="s">
        <v>299</v>
      </c>
      <c r="AS782" s="487">
        <f>+VLOOKUP($AJ782,Data_Validation!$A:$E,5,0)</f>
        <v>0</v>
      </c>
      <c r="AT782" s="904" t="str">
        <f t="shared" si="75"/>
        <v>G65101</v>
      </c>
      <c r="AU782" s="488" t="str">
        <f t="shared" si="76"/>
        <v>REMISE NEUF CAM.DET.AUTRE</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customHeight="1">
      <c r="A783" s="706" t="s">
        <v>1147</v>
      </c>
      <c r="B783" s="706">
        <v>2025</v>
      </c>
      <c r="C783" s="706" t="s">
        <v>2809</v>
      </c>
      <c r="D783" s="706" t="s">
        <v>2810</v>
      </c>
      <c r="E783" s="706" t="s">
        <v>333</v>
      </c>
      <c r="F783" s="706" t="s">
        <v>1151</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G65120</v>
      </c>
      <c r="AK783" s="905" t="str">
        <f t="shared" si="73"/>
        <v>REM.NEUF LOC.CAM.DET.OPT.</v>
      </c>
      <c r="AL783" s="905">
        <f>IFERROR(INDEX(G783:R783,1,MATCH(Parametres!$B$3,G$1:R$1,0)-1)*IF(OR(F783="L",F783="S",F783="I"),-1,1),"")</f>
        <v>0</v>
      </c>
      <c r="AM783" s="905">
        <f t="shared" si="74"/>
        <v>0</v>
      </c>
      <c r="AN783" s="905">
        <f>INDEX(G783:R783,1,MATCH(Parametres!$B$3,G$1:R$1,0))*IF(OR(F783="L",F783="S",F783="I"),-1,1)</f>
        <v>0</v>
      </c>
      <c r="AO783" s="487" t="str">
        <f>+VLOOKUP($AJ783,Data_Validation!$A:$D,1,0)</f>
        <v>G65120</v>
      </c>
      <c r="AP783" s="487">
        <f>+VLOOKUP($AJ783,Data_Validation!$A:$D,3,0)</f>
        <v>0</v>
      </c>
      <c r="AQ783" s="487">
        <f>+VLOOKUP($AJ783,Data_Validation!$A:$D,4,0)</f>
        <v>0</v>
      </c>
      <c r="AR783" s="487" t="s">
        <v>299</v>
      </c>
      <c r="AS783" s="487">
        <f>+VLOOKUP($AJ783,Data_Validation!$A:$E,5,0)</f>
        <v>0</v>
      </c>
      <c r="AT783" s="904" t="str">
        <f t="shared" si="75"/>
        <v>G65120</v>
      </c>
      <c r="AU783" s="488" t="str">
        <f t="shared" si="76"/>
        <v>REM.NEUF LOC.CAM.DET.OPT.</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1147</v>
      </c>
      <c r="B784" s="706">
        <v>2025</v>
      </c>
      <c r="C784" s="706" t="s">
        <v>2811</v>
      </c>
      <c r="D784" s="706" t="s">
        <v>2812</v>
      </c>
      <c r="E784" s="706" t="s">
        <v>1142</v>
      </c>
      <c r="F784" s="706" t="s">
        <v>1151</v>
      </c>
      <c r="G784" s="706">
        <v>704689.81</v>
      </c>
      <c r="H784" s="706">
        <v>1837062.43</v>
      </c>
      <c r="I784" s="706">
        <v>3319843.07</v>
      </c>
      <c r="J784" s="706">
        <v>5268466.13</v>
      </c>
      <c r="K784" s="706">
        <v>8184949.5599999996</v>
      </c>
      <c r="L784" s="706">
        <v>11839813.720000001</v>
      </c>
      <c r="M784" s="706">
        <v>13455814.99</v>
      </c>
      <c r="N784" s="706">
        <v>16460316.810000001</v>
      </c>
      <c r="O784" s="706">
        <v>18364456.210000001</v>
      </c>
      <c r="P784" s="706">
        <v>19403890.859999999</v>
      </c>
      <c r="Q784" s="706">
        <v>20632906.920000002</v>
      </c>
      <c r="R784" s="706">
        <v>21443656.41</v>
      </c>
      <c r="S784" s="706">
        <v>1875718.81</v>
      </c>
      <c r="T784" s="706">
        <v>1875718.81</v>
      </c>
      <c r="U784" s="706">
        <v>-2889</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G65200</v>
      </c>
      <c r="AK784" s="905" t="str">
        <f t="shared" si="73"/>
        <v>COUT-CAM. OCCASION GROS</v>
      </c>
      <c r="AL784" s="905">
        <f>IFERROR(INDEX(G784:R784,1,MATCH(Parametres!$B$3,G$1:R$1,0)-1)*IF(OR(F784="L",F784="S",F784="I"),-1,1),"")</f>
        <v>20632906.920000002</v>
      </c>
      <c r="AM784" s="905">
        <f t="shared" si="74"/>
        <v>810749.48999999836</v>
      </c>
      <c r="AN784" s="905">
        <f>INDEX(G784:R784,1,MATCH(Parametres!$B$3,G$1:R$1,0))*IF(OR(F784="L",F784="S",F784="I"),-1,1)</f>
        <v>21443656.41</v>
      </c>
      <c r="AO784" s="487" t="str">
        <f>+VLOOKUP($AJ784,Data_Validation!$A:$D,1,0)</f>
        <v>G65200</v>
      </c>
      <c r="AP784" s="487" t="str">
        <f>+VLOOKUP($AJ784,Data_Validation!$A:$D,3,0)</f>
        <v>Véhicules usagés</v>
      </c>
      <c r="AQ784" s="487" t="str">
        <f>+VLOOKUP($AJ784,Data_Validation!$A:$D,4,0)</f>
        <v>Ventes au Gros</v>
      </c>
      <c r="AR784" s="487" t="s">
        <v>299</v>
      </c>
      <c r="AS784" s="487">
        <f>+VLOOKUP($AJ784,Data_Validation!$A:$E,5,0)</f>
        <v>0</v>
      </c>
      <c r="AT784" s="904" t="str">
        <f t="shared" si="75"/>
        <v>G65200</v>
      </c>
      <c r="AU784" s="488" t="str">
        <f t="shared" si="76"/>
        <v>COUT-CAM. OCCASION GROS</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1147</v>
      </c>
      <c r="B785" s="706">
        <v>2025</v>
      </c>
      <c r="C785" s="706" t="s">
        <v>2813</v>
      </c>
      <c r="D785" s="706" t="s">
        <v>2814</v>
      </c>
      <c r="E785" s="706" t="s">
        <v>1142</v>
      </c>
      <c r="F785" s="706" t="s">
        <v>1151</v>
      </c>
      <c r="G785" s="706">
        <v>1821687.04</v>
      </c>
      <c r="H785" s="706">
        <v>4560647.04</v>
      </c>
      <c r="I785" s="706">
        <v>8593597.0399999991</v>
      </c>
      <c r="J785" s="706">
        <v>11590087.039999999</v>
      </c>
      <c r="K785" s="706">
        <v>12521887.039999999</v>
      </c>
      <c r="L785" s="706">
        <v>13915560.67</v>
      </c>
      <c r="M785" s="706">
        <v>15999490.67</v>
      </c>
      <c r="N785" s="706">
        <v>19904220.670000002</v>
      </c>
      <c r="O785" s="706">
        <v>23129370.670000002</v>
      </c>
      <c r="P785" s="706">
        <v>26575968.170000002</v>
      </c>
      <c r="Q785" s="706">
        <v>35966700.670000002</v>
      </c>
      <c r="R785" s="706">
        <v>43843558.170000002</v>
      </c>
      <c r="S785" s="706">
        <v>3269700.06</v>
      </c>
      <c r="T785" s="706">
        <v>3269700.06</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G65201</v>
      </c>
      <c r="AK785" s="905" t="str">
        <f t="shared" si="73"/>
        <v>COUT - WHOLESALE W</v>
      </c>
      <c r="AL785" s="905">
        <f>IFERROR(INDEX(G785:R785,1,MATCH(Parametres!$B$3,G$1:R$1,0)-1)*IF(OR(F785="L",F785="S",F785="I"),-1,1),"")</f>
        <v>35966700.670000002</v>
      </c>
      <c r="AM785" s="905">
        <f t="shared" si="74"/>
        <v>7876857.5</v>
      </c>
      <c r="AN785" s="905">
        <f>INDEX(G785:R785,1,MATCH(Parametres!$B$3,G$1:R$1,0))*IF(OR(F785="L",F785="S",F785="I"),-1,1)</f>
        <v>43843558.170000002</v>
      </c>
      <c r="AO785" s="487" t="str">
        <f>+VLOOKUP($AJ785,Data_Validation!$A:$D,1,0)</f>
        <v>G65201</v>
      </c>
      <c r="AP785" s="487" t="str">
        <f>+VLOOKUP($AJ785,Data_Validation!$A:$D,3,0)</f>
        <v>Wholesale autres</v>
      </c>
      <c r="AQ785" s="487" t="str">
        <f>+VLOOKUP($AJ785,Data_Validation!$A:$D,4,0)</f>
        <v>Wholesale Luxueux</v>
      </c>
      <c r="AR785" s="487" t="s">
        <v>299</v>
      </c>
      <c r="AS785" s="487">
        <f>+VLOOKUP($AJ785,Data_Validation!$A:$E,5,0)</f>
        <v>0</v>
      </c>
      <c r="AT785" s="904" t="str">
        <f t="shared" si="75"/>
        <v>G65201</v>
      </c>
      <c r="AU785" s="488" t="str">
        <f t="shared" si="76"/>
        <v>COUT - WHOLESALE W</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1147</v>
      </c>
      <c r="B786" s="706">
        <v>2025</v>
      </c>
      <c r="C786" s="706" t="s">
        <v>2815</v>
      </c>
      <c r="D786" s="706" t="s">
        <v>2816</v>
      </c>
      <c r="E786" s="706" t="s">
        <v>333</v>
      </c>
      <c r="F786" s="706" t="s">
        <v>1151</v>
      </c>
      <c r="G786" s="706">
        <v>0</v>
      </c>
      <c r="H786" s="706">
        <v>0</v>
      </c>
      <c r="I786" s="706">
        <v>0</v>
      </c>
      <c r="J786" s="706">
        <v>0</v>
      </c>
      <c r="K786" s="706">
        <v>0</v>
      </c>
      <c r="L786" s="706">
        <v>0</v>
      </c>
      <c r="M786" s="706">
        <v>0</v>
      </c>
      <c r="N786" s="706">
        <v>0</v>
      </c>
      <c r="O786" s="706">
        <v>0</v>
      </c>
      <c r="P786" s="706">
        <v>0</v>
      </c>
      <c r="Q786" s="706">
        <v>0</v>
      </c>
      <c r="R786" s="706">
        <v>-117738.1</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G65300</v>
      </c>
      <c r="AK786" s="905" t="str">
        <f t="shared" si="73"/>
        <v>RECTIFICATION/STOCK/TRUCK</v>
      </c>
      <c r="AL786" s="905">
        <f>IFERROR(INDEX(G786:R786,1,MATCH(Parametres!$B$3,G$1:R$1,0)-1)*IF(OR(F786="L",F786="S",F786="I"),-1,1),"")</f>
        <v>0</v>
      </c>
      <c r="AM786" s="905">
        <f t="shared" si="74"/>
        <v>-117738.1</v>
      </c>
      <c r="AN786" s="905">
        <f>INDEX(G786:R786,1,MATCH(Parametres!$B$3,G$1:R$1,0))*IF(OR(F786="L",F786="S",F786="I"),-1,1)</f>
        <v>-117738.1</v>
      </c>
      <c r="AO786" s="487" t="str">
        <f>+VLOOKUP($AJ786,Data_Validation!$A:$D,1,0)</f>
        <v>G65300</v>
      </c>
      <c r="AP786" s="487" t="str">
        <f>+VLOOKUP($AJ786,Data_Validation!$A:$D,3,0)</f>
        <v>Pièces</v>
      </c>
      <c r="AQ786" s="487" t="str">
        <f>+VLOOKUP($AJ786,Data_Validation!$A:$D,4,0)</f>
        <v>Rectif. Inventaire</v>
      </c>
      <c r="AR786" s="487" t="s">
        <v>299</v>
      </c>
      <c r="AS786" s="487">
        <f>+VLOOKUP($AJ786,Data_Validation!$A:$E,5,0)</f>
        <v>0</v>
      </c>
      <c r="AT786" s="904" t="str">
        <f t="shared" si="75"/>
        <v>G65300</v>
      </c>
      <c r="AU786" s="488" t="str">
        <f t="shared" si="76"/>
        <v>RECTIFICATION/STOCK/TRUCK</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1147</v>
      </c>
      <c r="B787" s="706">
        <v>2025</v>
      </c>
      <c r="C787" s="706" t="s">
        <v>2817</v>
      </c>
      <c r="D787" s="706" t="s">
        <v>2818</v>
      </c>
      <c r="E787" s="706" t="s">
        <v>333</v>
      </c>
      <c r="F787" s="706" t="s">
        <v>1151</v>
      </c>
      <c r="G787" s="706">
        <v>7270.79</v>
      </c>
      <c r="H787" s="706">
        <v>10702.79</v>
      </c>
      <c r="I787" s="706">
        <v>20599.61</v>
      </c>
      <c r="J787" s="706">
        <v>27214.61</v>
      </c>
      <c r="K787" s="706">
        <v>34188.61</v>
      </c>
      <c r="L787" s="706">
        <v>34188.61</v>
      </c>
      <c r="M787" s="706">
        <v>38073.61</v>
      </c>
      <c r="N787" s="706">
        <v>44278.61</v>
      </c>
      <c r="O787" s="706">
        <v>56514.61</v>
      </c>
      <c r="P787" s="706">
        <v>70862.61</v>
      </c>
      <c r="Q787" s="706">
        <v>74881.61</v>
      </c>
      <c r="R787" s="706">
        <v>91537.24</v>
      </c>
      <c r="S787" s="706">
        <v>6807.42</v>
      </c>
      <c r="T787" s="706">
        <v>6807.42</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G65400</v>
      </c>
      <c r="AK787" s="905" t="str">
        <f t="shared" ref="AK787:AK794" si="82">D787</f>
        <v>COUT-PLAN PROTECTION USAG</v>
      </c>
      <c r="AL787" s="905">
        <f>IFERROR(INDEX(G787:R787,1,MATCH(Parametres!$B$3,G$1:R$1,0)-1)*IF(OR(F787="L",F787="S",F787="I"),-1,1),"")</f>
        <v>74881.61</v>
      </c>
      <c r="AM787" s="905">
        <f t="shared" si="74"/>
        <v>16655.630000000005</v>
      </c>
      <c r="AN787" s="905">
        <f>INDEX(G787:R787,1,MATCH(Parametres!$B$3,G$1:R$1,0))*IF(OR(F787="L",F787="S",F787="I"),-1,1)</f>
        <v>91537.24</v>
      </c>
      <c r="AO787" s="487" t="str">
        <f>+VLOOKUP($AJ787,Data_Validation!$A:$D,1,0)</f>
        <v>G65400</v>
      </c>
      <c r="AP787" s="487" t="str">
        <f>+VLOOKUP($AJ787,Data_Validation!$A:$D,3,0)</f>
        <v>Véhicules usagés</v>
      </c>
      <c r="AQ787" s="487" t="str">
        <f>+VLOOKUP($AJ787,Data_Validation!$A:$D,4,0)</f>
        <v>Rev. Protections</v>
      </c>
      <c r="AR787" s="487" t="s">
        <v>299</v>
      </c>
      <c r="AS787" s="487">
        <f>+VLOOKUP($AJ787,Data_Validation!$A:$E,5,0)</f>
        <v>0</v>
      </c>
      <c r="AT787" s="904" t="str">
        <f t="shared" si="75"/>
        <v>G65400</v>
      </c>
      <c r="AU787" s="488" t="str">
        <f t="shared" si="76"/>
        <v>COUT-PLAN PROTECTION USAG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1147</v>
      </c>
      <c r="B788" s="706">
        <v>2025</v>
      </c>
      <c r="C788" s="706" t="s">
        <v>2819</v>
      </c>
      <c r="D788" s="706" t="s">
        <v>2820</v>
      </c>
      <c r="E788" s="706" t="s">
        <v>1142</v>
      </c>
      <c r="F788" s="706" t="s">
        <v>1151</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G65500</v>
      </c>
      <c r="AK788" s="905" t="str">
        <f t="shared" si="82"/>
        <v>RETOUR DE LOCATION-COUT</v>
      </c>
      <c r="AL788" s="905">
        <f>IFERROR(INDEX(G788:R788,1,MATCH(Parametres!$B$3,G$1:R$1,0)-1)*IF(OR(F788="L",F788="S",F788="I"),-1,1),"")</f>
        <v>0</v>
      </c>
      <c r="AM788" s="905">
        <f t="shared" si="74"/>
        <v>0</v>
      </c>
      <c r="AN788" s="905">
        <f>INDEX(G788:R788,1,MATCH(Parametres!$B$3,G$1:R$1,0))*IF(OR(F788="L",F788="S",F788="I"),-1,1)</f>
        <v>0</v>
      </c>
      <c r="AO788" s="487" t="str">
        <f>+VLOOKUP($AJ788,Data_Validation!$A:$D,1,0)</f>
        <v>G65500</v>
      </c>
      <c r="AP788" s="487" t="str">
        <f>+VLOOKUP($AJ788,Data_Validation!$A:$D,3,0)</f>
        <v>Véhicules usagés</v>
      </c>
      <c r="AQ788" s="487" t="str">
        <f>+VLOOKUP($AJ788,Data_Validation!$A:$D,4,0)</f>
        <v>Rev. Protections</v>
      </c>
      <c r="AR788" s="487" t="s">
        <v>299</v>
      </c>
      <c r="AS788" s="487">
        <f>+VLOOKUP($AJ788,Data_Validation!$A:$E,5,0)</f>
        <v>0</v>
      </c>
      <c r="AT788" s="904" t="str">
        <f t="shared" si="75"/>
        <v>G65500</v>
      </c>
      <c r="AU788" s="488" t="str">
        <f t="shared" si="76"/>
        <v>RETOUR DE LOCATION-COUT</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hidden="1" customHeight="1">
      <c r="A789" s="706" t="s">
        <v>1147</v>
      </c>
      <c r="B789" s="706">
        <v>2025</v>
      </c>
      <c r="C789" s="706" t="s">
        <v>2821</v>
      </c>
      <c r="D789" s="706" t="s">
        <v>2822</v>
      </c>
      <c r="E789" s="706" t="s">
        <v>333</v>
      </c>
      <c r="F789" s="706" t="s">
        <v>1151</v>
      </c>
      <c r="G789" s="706">
        <v>942.2</v>
      </c>
      <c r="H789" s="706">
        <v>942.2</v>
      </c>
      <c r="I789" s="706">
        <v>3394.3</v>
      </c>
      <c r="J789" s="706">
        <v>3394.3</v>
      </c>
      <c r="K789" s="706">
        <v>3394.3</v>
      </c>
      <c r="L789" s="706">
        <v>3394.3</v>
      </c>
      <c r="M789" s="706">
        <v>4109.7</v>
      </c>
      <c r="N789" s="706">
        <v>6614.3</v>
      </c>
      <c r="O789" s="706">
        <v>6614.3</v>
      </c>
      <c r="P789" s="706">
        <v>8869.7000000000007</v>
      </c>
      <c r="Q789" s="706">
        <v>979.9</v>
      </c>
      <c r="R789" s="706">
        <v>979.9</v>
      </c>
      <c r="S789" s="706">
        <v>89.08</v>
      </c>
      <c r="T789" s="706">
        <v>89.08</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G65600</v>
      </c>
      <c r="AK789" s="905" t="str">
        <f t="shared" si="82"/>
        <v>COUT-REMPLACEMENT USAGES</v>
      </c>
      <c r="AL789" s="905">
        <f>IFERROR(INDEX(G789:R789,1,MATCH(Parametres!$B$3,G$1:R$1,0)-1)*IF(OR(F789="L",F789="S",F789="I"),-1,1),"")</f>
        <v>979.9</v>
      </c>
      <c r="AM789" s="905">
        <f t="shared" si="74"/>
        <v>0</v>
      </c>
      <c r="AN789" s="905">
        <f>INDEX(G789:R789,1,MATCH(Parametres!$B$3,G$1:R$1,0))*IF(OR(F789="L",F789="S",F789="I"),-1,1)</f>
        <v>979.9</v>
      </c>
      <c r="AO789" s="487" t="str">
        <f>+VLOOKUP($AJ789,Data_Validation!$A:$D,1,0)</f>
        <v>G65600</v>
      </c>
      <c r="AP789" s="487" t="str">
        <f>+VLOOKUP($AJ789,Data_Validation!$A:$D,3,0)</f>
        <v>Véhicules usagés</v>
      </c>
      <c r="AQ789" s="487" t="str">
        <f>+VLOOKUP($AJ789,Data_Validation!$A:$D,4,0)</f>
        <v>Rev. Protections</v>
      </c>
      <c r="AR789" s="487" t="s">
        <v>299</v>
      </c>
      <c r="AS789" s="487">
        <f>+VLOOKUP($AJ789,Data_Validation!$A:$E,5,0)</f>
        <v>0</v>
      </c>
      <c r="AT789" s="904" t="str">
        <f t="shared" si="75"/>
        <v>G65600</v>
      </c>
      <c r="AU789" s="488" t="str">
        <f t="shared" si="76"/>
        <v>COUT-REMPLACEMENT USAGES</v>
      </c>
      <c r="AV789" s="899">
        <f>IFERROR(INDEX(V789:AG789,1,MATCH(Parametres!$B$3,V$1:AG$1,0)-1)*IF(OR(C789="L",C789="S",C789="I"),-1,1),"")</f>
        <v>0</v>
      </c>
      <c r="AW789" s="899">
        <f t="shared" si="77"/>
        <v>0</v>
      </c>
      <c r="AX789" s="899">
        <f>INDEX(V789:AG789,1,MATCH(Parametres!$B$3,V$1:AG$1,0))*IF(OR(C789="L",C789="S",C789="I"),-1,1)</f>
        <v>0</v>
      </c>
      <c r="AY789" s="487" t="s">
        <v>337</v>
      </c>
      <c r="AZ789" s="487">
        <f>+VLOOKUP($AJ789,Data_Validation!$A:$E,5,0)</f>
        <v>0</v>
      </c>
    </row>
    <row r="790" spans="1:52" ht="15" hidden="1" customHeight="1">
      <c r="A790" s="706" t="s">
        <v>1147</v>
      </c>
      <c r="B790" s="706">
        <v>2025</v>
      </c>
      <c r="C790" s="706" t="s">
        <v>2823</v>
      </c>
      <c r="D790" s="706" t="s">
        <v>2824</v>
      </c>
      <c r="E790" s="706" t="s">
        <v>1151</v>
      </c>
      <c r="F790" s="706" t="s">
        <v>1151</v>
      </c>
      <c r="G790" s="706">
        <v>0</v>
      </c>
      <c r="H790" s="706">
        <v>0</v>
      </c>
      <c r="I790" s="706">
        <v>311917.56</v>
      </c>
      <c r="J790" s="706">
        <v>597727.63</v>
      </c>
      <c r="K790" s="706">
        <v>597577.55000000005</v>
      </c>
      <c r="L790" s="706">
        <v>597577.55000000005</v>
      </c>
      <c r="M790" s="706">
        <v>597577.12</v>
      </c>
      <c r="N790" s="706">
        <v>729876</v>
      </c>
      <c r="O790" s="706">
        <v>729817.91</v>
      </c>
      <c r="P790" s="706">
        <v>729817.91</v>
      </c>
      <c r="Q790" s="706">
        <v>729817.91</v>
      </c>
      <c r="R790" s="706">
        <v>737953.9</v>
      </c>
      <c r="S790" s="706">
        <v>66347.08</v>
      </c>
      <c r="T790" s="706">
        <v>66347.08</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G65601</v>
      </c>
      <c r="AK790" s="905" t="str">
        <f t="shared" si="82"/>
        <v>COUT VEH U.S.A</v>
      </c>
      <c r="AL790" s="905">
        <f>IFERROR(INDEX(G790:R790,1,MATCH(Parametres!$B$3,G$1:R$1,0)-1)*IF(OR(F790="L",F790="S",F790="I"),-1,1),"")</f>
        <v>729817.91</v>
      </c>
      <c r="AM790" s="905">
        <f t="shared" si="74"/>
        <v>8135.9899999999907</v>
      </c>
      <c r="AN790" s="905">
        <f>INDEX(G790:R790,1,MATCH(Parametres!$B$3,G$1:R$1,0))*IF(OR(F790="L",F790="S",F790="I"),-1,1)</f>
        <v>737953.9</v>
      </c>
      <c r="AO790" s="487" t="str">
        <f>+VLOOKUP($AJ790,Data_Validation!$A:$D,1,0)</f>
        <v>G65601</v>
      </c>
      <c r="AP790" s="487" t="str">
        <f>+VLOOKUP($AJ790,Data_Validation!$A:$D,3,0)</f>
        <v>Wholesale autres</v>
      </c>
      <c r="AQ790" s="487" t="str">
        <f>+VLOOKUP($AJ790,Data_Validation!$A:$D,4,0)</f>
        <v>Wholesale USA</v>
      </c>
      <c r="AR790" s="487" t="s">
        <v>299</v>
      </c>
      <c r="AS790" s="487">
        <f>+VLOOKUP($AJ790,Data_Validation!$A:$E,5,0)</f>
        <v>0</v>
      </c>
      <c r="AT790" s="904" t="str">
        <f t="shared" si="75"/>
        <v>G65601</v>
      </c>
      <c r="AU790" s="488" t="str">
        <f t="shared" si="76"/>
        <v>COUT VEH U.S.A</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1147</v>
      </c>
      <c r="B791" s="706">
        <v>2025</v>
      </c>
      <c r="C791" s="706" t="s">
        <v>2825</v>
      </c>
      <c r="D791" s="706" t="s">
        <v>2826</v>
      </c>
      <c r="E791" s="706" t="s">
        <v>333</v>
      </c>
      <c r="F791" s="706" t="s">
        <v>1151</v>
      </c>
      <c r="G791" s="706">
        <v>0</v>
      </c>
      <c r="H791" s="706">
        <v>0</v>
      </c>
      <c r="I791" s="706">
        <v>0</v>
      </c>
      <c r="J791" s="706">
        <v>0</v>
      </c>
      <c r="K791" s="706">
        <v>0</v>
      </c>
      <c r="L791" s="706">
        <v>0</v>
      </c>
      <c r="M791" s="706">
        <v>0</v>
      </c>
      <c r="N791" s="706">
        <v>0</v>
      </c>
      <c r="O791" s="706">
        <v>0</v>
      </c>
      <c r="P791" s="706">
        <v>0</v>
      </c>
      <c r="Q791" s="706">
        <v>0</v>
      </c>
      <c r="R791" s="706">
        <v>-72910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G65602</v>
      </c>
      <c r="AK791" s="905" t="str">
        <f t="shared" si="82"/>
        <v>COUT VENTE USA -AJUSTMENT</v>
      </c>
      <c r="AL791" s="905">
        <f>IFERROR(INDEX(G791:R791,1,MATCH(Parametres!$B$3,G$1:R$1,0)-1)*IF(OR(F791="L",F791="S",F791="I"),-1,1),"")</f>
        <v>0</v>
      </c>
      <c r="AM791" s="905">
        <f t="shared" si="74"/>
        <v>-72910</v>
      </c>
      <c r="AN791" s="905">
        <f>INDEX(G791:R791,1,MATCH(Parametres!$B$3,G$1:R$1,0))*IF(OR(F791="L",F791="S",F791="I"),-1,1)</f>
        <v>-72910</v>
      </c>
      <c r="AO791" s="487" t="str">
        <f>+VLOOKUP($AJ791,Data_Validation!$A:$D,1,0)</f>
        <v>G65602</v>
      </c>
      <c r="AP791" s="487" t="str">
        <f>+VLOOKUP($AJ791,Data_Validation!$A:$D,3,0)</f>
        <v>Wholesale autres</v>
      </c>
      <c r="AQ791" s="487" t="str">
        <f>+VLOOKUP($AJ791,Data_Validation!$A:$D,4,0)</f>
        <v>Wholesale USA</v>
      </c>
      <c r="AR791" s="487" t="s">
        <v>299</v>
      </c>
      <c r="AS791" s="487">
        <f>+VLOOKUP($AJ791,Data_Validation!$A:$E,5,0)</f>
        <v>0</v>
      </c>
      <c r="AT791" s="904" t="str">
        <f t="shared" si="75"/>
        <v>G65602</v>
      </c>
      <c r="AU791" s="488" t="str">
        <f t="shared" si="76"/>
        <v>COUT VENTE USA -AJUSTMENT</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1147</v>
      </c>
      <c r="B792" s="706">
        <v>2025</v>
      </c>
      <c r="C792" s="706" t="s">
        <v>2827</v>
      </c>
      <c r="D792" s="706" t="s">
        <v>2828</v>
      </c>
      <c r="E792" s="706" t="s">
        <v>1142</v>
      </c>
      <c r="F792" s="706" t="s">
        <v>1151</v>
      </c>
      <c r="G792" s="706">
        <v>464346.31</v>
      </c>
      <c r="H792" s="706">
        <v>1277723.18</v>
      </c>
      <c r="I792" s="706">
        <v>4015863.9</v>
      </c>
      <c r="J792" s="706">
        <v>8500196.0199999996</v>
      </c>
      <c r="K792" s="706">
        <v>14970767.51</v>
      </c>
      <c r="L792" s="706">
        <v>20509420.649999999</v>
      </c>
      <c r="M792" s="706">
        <v>22500685.84</v>
      </c>
      <c r="N792" s="706">
        <v>24725787.18</v>
      </c>
      <c r="O792" s="706">
        <v>25285451.940000001</v>
      </c>
      <c r="P792" s="706">
        <v>25477225.460000001</v>
      </c>
      <c r="Q792" s="706">
        <v>26058272.370000001</v>
      </c>
      <c r="R792" s="706">
        <v>26874395.309999999</v>
      </c>
      <c r="S792" s="706">
        <v>2368933.85</v>
      </c>
      <c r="T792" s="706">
        <v>2368933.85</v>
      </c>
      <c r="U792" s="706">
        <v>-181.82</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G65603</v>
      </c>
      <c r="AK792" s="905" t="str">
        <f t="shared" si="82"/>
        <v>COUTANT VENTES USA</v>
      </c>
      <c r="AL792" s="905">
        <f>IFERROR(INDEX(G792:R792,1,MATCH(Parametres!$B$3,G$1:R$1,0)-1)*IF(OR(F792="L",F792="S",F792="I"),-1,1),"")</f>
        <v>26058272.370000001</v>
      </c>
      <c r="AM792" s="905">
        <f t="shared" si="74"/>
        <v>816122.93999999762</v>
      </c>
      <c r="AN792" s="905">
        <f>INDEX(G792:R792,1,MATCH(Parametres!$B$3,G$1:R$1,0))*IF(OR(F792="L",F792="S",F792="I"),-1,1)</f>
        <v>26874395.309999999</v>
      </c>
      <c r="AO792" s="487" t="str">
        <f>+VLOOKUP($AJ792,Data_Validation!$A:$D,1,0)</f>
        <v>G65603</v>
      </c>
      <c r="AP792" s="487" t="str">
        <f>+VLOOKUP($AJ792,Data_Validation!$A:$D,3,0)</f>
        <v>Wholesale autres</v>
      </c>
      <c r="AQ792" s="487" t="str">
        <f>+VLOOKUP($AJ792,Data_Validation!$A:$D,4,0)</f>
        <v>Wholesale USA</v>
      </c>
      <c r="AR792" s="487" t="s">
        <v>299</v>
      </c>
      <c r="AS792" s="487">
        <f>+VLOOKUP($AJ792,Data_Validation!$A:$E,5,0)</f>
        <v>0</v>
      </c>
      <c r="AT792" s="904" t="str">
        <f t="shared" si="75"/>
        <v>G65603</v>
      </c>
      <c r="AU792" s="488" t="str">
        <f t="shared" si="76"/>
        <v>COUTANT VENTES USA</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1147</v>
      </c>
      <c r="B793" s="706">
        <v>2025</v>
      </c>
      <c r="C793" s="706" t="s">
        <v>2833</v>
      </c>
      <c r="D793" s="706" t="s">
        <v>2834</v>
      </c>
      <c r="E793" s="706" t="s">
        <v>333</v>
      </c>
      <c r="F793" s="706" t="s">
        <v>1151</v>
      </c>
      <c r="G793" s="706">
        <v>14474.16</v>
      </c>
      <c r="H793" s="706">
        <v>29346.1</v>
      </c>
      <c r="I793" s="706">
        <v>44467.79</v>
      </c>
      <c r="J793" s="706">
        <v>67298.929999999993</v>
      </c>
      <c r="K793" s="706">
        <v>88268.58</v>
      </c>
      <c r="L793" s="706">
        <v>104775.46</v>
      </c>
      <c r="M793" s="706">
        <v>119621.1</v>
      </c>
      <c r="N793" s="706">
        <v>135408.21</v>
      </c>
      <c r="O793" s="706">
        <v>149631.84</v>
      </c>
      <c r="P793" s="706">
        <v>172492.56</v>
      </c>
      <c r="Q793" s="706">
        <v>202066.14</v>
      </c>
      <c r="R793" s="706">
        <v>219145.89</v>
      </c>
      <c r="S793" s="706">
        <v>18369.650000000001</v>
      </c>
      <c r="T793" s="706">
        <v>18369.650000000001</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G66010</v>
      </c>
      <c r="AK793" s="905" t="str">
        <f t="shared" si="82"/>
        <v>COUT CLIENT VOIT CAM LEG.</v>
      </c>
      <c r="AL793" s="905">
        <f>IFERROR(INDEX(G793:R793,1,MATCH(Parametres!$B$3,G$1:R$1,0)-1)*IF(OR(F793="L",F793="S",F793="I"),-1,1),"")</f>
        <v>202066.14</v>
      </c>
      <c r="AM793" s="905">
        <f t="shared" si="74"/>
        <v>17079.75</v>
      </c>
      <c r="AN793" s="905">
        <f>INDEX(G793:R793,1,MATCH(Parametres!$B$3,G$1:R$1,0))*IF(OR(F793="L",F793="S",F793="I"),-1,1)</f>
        <v>219145.89</v>
      </c>
      <c r="AO793" s="487" t="str">
        <f>+VLOOKUP($AJ793,Data_Validation!$A:$D,1,0)</f>
        <v>G66010</v>
      </c>
      <c r="AP793" s="487" t="str">
        <f>+VLOOKUP($AJ793,Data_Validation!$A:$D,3,0)</f>
        <v>Service</v>
      </c>
      <c r="AQ793" s="487" t="str">
        <f>+VLOOKUP($AJ793,Data_Validation!$A:$D,4,0)</f>
        <v>M/O Client</v>
      </c>
      <c r="AR793" s="487" t="s">
        <v>299</v>
      </c>
      <c r="AS793" s="487">
        <f>+VLOOKUP($AJ793,Data_Validation!$A:$E,5,0)</f>
        <v>0</v>
      </c>
      <c r="AT793" s="904" t="str">
        <f t="shared" si="75"/>
        <v>G66010</v>
      </c>
      <c r="AU793" s="488" t="str">
        <f t="shared" si="76"/>
        <v>COUT CLIENT VOIT CAM LEG.</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1147</v>
      </c>
      <c r="B794" s="706">
        <v>2025</v>
      </c>
      <c r="C794" s="706" t="s">
        <v>2835</v>
      </c>
      <c r="D794" s="706" t="s">
        <v>2836</v>
      </c>
      <c r="E794" s="706" t="s">
        <v>333</v>
      </c>
      <c r="F794" s="706" t="s">
        <v>1151</v>
      </c>
      <c r="G794" s="706">
        <v>0</v>
      </c>
      <c r="H794" s="706">
        <v>0</v>
      </c>
      <c r="I794" s="706">
        <v>0</v>
      </c>
      <c r="J794" s="706">
        <v>0</v>
      </c>
      <c r="K794" s="706">
        <v>0</v>
      </c>
      <c r="L794" s="706">
        <v>0</v>
      </c>
      <c r="M794" s="706">
        <v>0</v>
      </c>
      <c r="N794" s="706">
        <v>0</v>
      </c>
      <c r="O794" s="706">
        <v>0</v>
      </c>
      <c r="P794" s="706">
        <v>0</v>
      </c>
      <c r="Q794" s="706">
        <v>0</v>
      </c>
      <c r="R794" s="706">
        <v>0</v>
      </c>
      <c r="S794" s="706">
        <v>0</v>
      </c>
      <c r="T794" s="706">
        <v>0</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G66020</v>
      </c>
      <c r="AK794" s="905" t="str">
        <f t="shared" si="82"/>
        <v>COUT CON.SER.VOIT CAM LEG</v>
      </c>
      <c r="AL794" s="905">
        <f>IFERROR(INDEX(G794:R794,1,MATCH(Parametres!$B$3,G$1:R$1,0)-1)*IF(OR(F794="L",F794="S",F794="I"),-1,1),"")</f>
        <v>0</v>
      </c>
      <c r="AM794" s="905">
        <f t="shared" si="74"/>
        <v>0</v>
      </c>
      <c r="AN794" s="905">
        <f>INDEX(G794:R794,1,MATCH(Parametres!$B$3,G$1:R$1,0))*IF(OR(F794="L",F794="S",F794="I"),-1,1)</f>
        <v>0</v>
      </c>
      <c r="AO794" s="487" t="str">
        <f>+VLOOKUP($AJ794,Data_Validation!$A:$D,1,0)</f>
        <v>G66020</v>
      </c>
      <c r="AP794" s="487" t="str">
        <f>+VLOOKUP($AJ794,Data_Validation!$A:$D,3,0)</f>
        <v>Service</v>
      </c>
      <c r="AQ794" s="487" t="str">
        <f>+VLOOKUP($AJ794,Data_Validation!$A:$D,4,0)</f>
        <v>M/O Garantie</v>
      </c>
      <c r="AR794" s="487" t="s">
        <v>299</v>
      </c>
      <c r="AS794" s="487">
        <f>+VLOOKUP($AJ794,Data_Validation!$A:$E,5,0)</f>
        <v>0</v>
      </c>
      <c r="AT794" s="904" t="str">
        <f t="shared" si="75"/>
        <v>G66020</v>
      </c>
      <c r="AU794" s="488" t="str">
        <f t="shared" si="76"/>
        <v>COUT CON.SER.VOIT CAM LEG</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customHeight="1">
      <c r="A795" s="706" t="s">
        <v>1147</v>
      </c>
      <c r="B795" s="706">
        <v>2025</v>
      </c>
      <c r="C795" s="706" t="s">
        <v>2837</v>
      </c>
      <c r="D795" s="706" t="s">
        <v>2838</v>
      </c>
      <c r="E795" s="706" t="s">
        <v>333</v>
      </c>
      <c r="F795" s="706" t="s">
        <v>1151</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G66030</v>
      </c>
      <c r="AK795" s="905" t="str">
        <f t="shared" ref="AK795:AK858" si="84">D795</f>
        <v>COUT-M.D.PLAN PROT.A.AUTO</v>
      </c>
      <c r="AL795" s="905">
        <f>IFERROR(INDEX(G795:R795,1,MATCH(Parametres!$B$3,G$1:R$1,0)-1)*IF(OR(F795="L",F795="S",F795="I"),-1,1),"")</f>
        <v>0</v>
      </c>
      <c r="AM795" s="905">
        <f t="shared" ref="AM795:AM858" si="85">AN795-AL795</f>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ref="AT795:AT858" si="86">C795</f>
        <v>G66030</v>
      </c>
      <c r="AU795" s="488" t="str">
        <f t="shared" ref="AU795:AU858" si="87">D795</f>
        <v>COUT-M.D.PLAN PROT.A.AUTO</v>
      </c>
      <c r="AV795" s="899">
        <f>IFERROR(INDEX(V795:AG795,1,MATCH(Parametres!$B$3,V$1:AG$1,0)-1)*IF(OR(C795="L",C795="S",C795="I"),-1,1),"")</f>
        <v>0</v>
      </c>
      <c r="AW795" s="899">
        <f t="shared" ref="AW795:AW858" si="88">AX795-AV795</f>
        <v>0</v>
      </c>
      <c r="AX795" s="899">
        <f>INDEX(V795:AG795,1,MATCH(Parametres!$B$3,V$1:AG$1,0))*IF(OR(C795="L",C795="S",C795="I"),-1,1)</f>
        <v>0</v>
      </c>
      <c r="AY795" s="487" t="s">
        <v>337</v>
      </c>
      <c r="AZ795" s="487" t="e">
        <f>+VLOOKUP($AJ795,Data_Validation!$A:$E,5,0)</f>
        <v>#N/A</v>
      </c>
    </row>
    <row r="796" spans="1:52" ht="15" hidden="1" customHeight="1">
      <c r="A796" s="706" t="s">
        <v>1147</v>
      </c>
      <c r="B796" s="706">
        <v>2025</v>
      </c>
      <c r="C796" s="706" t="s">
        <v>2839</v>
      </c>
      <c r="D796" s="706" t="s">
        <v>2840</v>
      </c>
      <c r="E796" s="706" t="s">
        <v>333</v>
      </c>
      <c r="F796" s="706" t="s">
        <v>1151</v>
      </c>
      <c r="G796" s="706">
        <v>3485.2</v>
      </c>
      <c r="H796" s="706">
        <v>5758.36</v>
      </c>
      <c r="I796" s="706">
        <v>9061.8799999999992</v>
      </c>
      <c r="J796" s="706">
        <v>11597.44</v>
      </c>
      <c r="K796" s="706">
        <v>12845.2</v>
      </c>
      <c r="L796" s="706">
        <v>14036.59</v>
      </c>
      <c r="M796" s="706">
        <v>14508.64</v>
      </c>
      <c r="N796" s="706">
        <v>15042.91</v>
      </c>
      <c r="O796" s="706">
        <v>15535.29</v>
      </c>
      <c r="P796" s="706">
        <v>16182.42</v>
      </c>
      <c r="Q796" s="706">
        <v>16405.34</v>
      </c>
      <c r="R796" s="706">
        <v>16558.240000000002</v>
      </c>
      <c r="S796" s="706">
        <v>1491.39</v>
      </c>
      <c r="T796" s="706">
        <v>1491.39</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G66040</v>
      </c>
      <c r="AK796" s="905" t="str">
        <f t="shared" si="84"/>
        <v>COUT SER RAP.VOIT CAM LEG</v>
      </c>
      <c r="AL796" s="905">
        <f>IFERROR(INDEX(G796:R796,1,MATCH(Parametres!$B$3,G$1:R$1,0)-1)*IF(OR(F796="L",F796="S",F796="I"),-1,1),"")</f>
        <v>16405.34</v>
      </c>
      <c r="AM796" s="905">
        <f t="shared" si="85"/>
        <v>152.90000000000146</v>
      </c>
      <c r="AN796" s="905">
        <f>INDEX(G796:R796,1,MATCH(Parametres!$B$3,G$1:R$1,0))*IF(OR(F796="L",F796="S",F796="I"),-1,1)</f>
        <v>16558.240000000002</v>
      </c>
      <c r="AO796" s="487" t="str">
        <f>+VLOOKUP($AJ796,Data_Validation!$A:$D,1,0)</f>
        <v>G66040</v>
      </c>
      <c r="AP796" s="487" t="str">
        <f>+VLOOKUP($AJ796,Data_Validation!$A:$D,3,0)</f>
        <v>Service</v>
      </c>
      <c r="AQ796" s="487" t="str">
        <f>+VLOOKUP($AJ796,Data_Validation!$A:$D,4,0)</f>
        <v>M/O Client</v>
      </c>
      <c r="AR796" s="487" t="s">
        <v>299</v>
      </c>
      <c r="AS796" s="487">
        <f>+VLOOKUP($AJ796,Data_Validation!$A:$E,5,0)</f>
        <v>0</v>
      </c>
      <c r="AT796" s="904" t="str">
        <f t="shared" si="86"/>
        <v>G66040</v>
      </c>
      <c r="AU796" s="488" t="str">
        <f t="shared" si="87"/>
        <v>COUT SER RAP.VOIT CAM LEG</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1147</v>
      </c>
      <c r="B797" s="706">
        <v>2025</v>
      </c>
      <c r="C797" s="706" t="s">
        <v>2841</v>
      </c>
      <c r="D797" s="706" t="s">
        <v>2842</v>
      </c>
      <c r="E797" s="706" t="s">
        <v>333</v>
      </c>
      <c r="F797" s="706" t="s">
        <v>1151</v>
      </c>
      <c r="G797" s="706">
        <v>23028.63</v>
      </c>
      <c r="H797" s="706">
        <v>42214.09</v>
      </c>
      <c r="I797" s="706">
        <v>68653.429999999993</v>
      </c>
      <c r="J797" s="706">
        <v>90714.93</v>
      </c>
      <c r="K797" s="706">
        <v>109964.12</v>
      </c>
      <c r="L797" s="706">
        <v>130045.58</v>
      </c>
      <c r="M797" s="706">
        <v>151130.01</v>
      </c>
      <c r="N797" s="706">
        <v>167868.49</v>
      </c>
      <c r="O797" s="706">
        <v>185425.03</v>
      </c>
      <c r="P797" s="706">
        <v>208064.5</v>
      </c>
      <c r="Q797" s="706">
        <v>226710.22</v>
      </c>
      <c r="R797" s="706">
        <v>244174.49</v>
      </c>
      <c r="S797" s="706">
        <v>20610.02</v>
      </c>
      <c r="T797" s="706">
        <v>20610.02</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G66110</v>
      </c>
      <c r="AK797" s="905" t="str">
        <f t="shared" si="84"/>
        <v>COUT CLIENTS CAMION MOYEN</v>
      </c>
      <c r="AL797" s="905">
        <f>IFERROR(INDEX(G797:R797,1,MATCH(Parametres!$B$3,G$1:R$1,0)-1)*IF(OR(F797="L",F797="S",F797="I"),-1,1),"")</f>
        <v>226710.22</v>
      </c>
      <c r="AM797" s="905">
        <f t="shared" si="85"/>
        <v>17464.26999999999</v>
      </c>
      <c r="AN797" s="905">
        <f>INDEX(G797:R797,1,MATCH(Parametres!$B$3,G$1:R$1,0))*IF(OR(F797="L",F797="S",F797="I"),-1,1)</f>
        <v>244174.49</v>
      </c>
      <c r="AO797" s="487" t="str">
        <f>+VLOOKUP($AJ797,Data_Validation!$A:$D,1,0)</f>
        <v>G66110</v>
      </c>
      <c r="AP797" s="487" t="str">
        <f>+VLOOKUP($AJ797,Data_Validation!$A:$D,3,0)</f>
        <v>SAAQ</v>
      </c>
      <c r="AQ797" s="487" t="str">
        <f>+VLOOKUP($AJ797,Data_Validation!$A:$D,4,0)</f>
        <v>Inspection - Véhicules Légers</v>
      </c>
      <c r="AR797" s="487" t="s">
        <v>299</v>
      </c>
      <c r="AS797" s="487">
        <f>+VLOOKUP($AJ797,Data_Validation!$A:$E,5,0)</f>
        <v>0</v>
      </c>
      <c r="AT797" s="904" t="str">
        <f t="shared" si="86"/>
        <v>G66110</v>
      </c>
      <c r="AU797" s="488" t="str">
        <f t="shared" si="87"/>
        <v>COUT CLIENTS CAMION MOYEN</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hidden="1" customHeight="1">
      <c r="A798" s="706" t="s">
        <v>1147</v>
      </c>
      <c r="B798" s="706">
        <v>2025</v>
      </c>
      <c r="C798" s="706" t="s">
        <v>2843</v>
      </c>
      <c r="D798" s="706" t="s">
        <v>2844</v>
      </c>
      <c r="E798" s="706" t="s">
        <v>333</v>
      </c>
      <c r="F798" s="706" t="s">
        <v>1151</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G66120</v>
      </c>
      <c r="AK798" s="905" t="str">
        <f t="shared" si="84"/>
        <v>COUT CLAIM CAMIONS MOYEN</v>
      </c>
      <c r="AL798" s="905">
        <f>IFERROR(INDEX(G798:R798,1,MATCH(Parametres!$B$3,G$1:R$1,0)-1)*IF(OR(F798="L",F798="S",F798="I"),-1,1),"")</f>
        <v>0</v>
      </c>
      <c r="AM798" s="905">
        <f t="shared" si="85"/>
        <v>0</v>
      </c>
      <c r="AN798" s="905">
        <f>INDEX(G798:R798,1,MATCH(Parametres!$B$3,G$1:R$1,0))*IF(OR(F798="L",F798="S",F798="I"),-1,1)</f>
        <v>0</v>
      </c>
      <c r="AO798" s="487" t="str">
        <f>+VLOOKUP($AJ798,Data_Validation!$A:$D,1,0)</f>
        <v>G66120</v>
      </c>
      <c r="AP798" s="487" t="str">
        <f>+VLOOKUP($AJ798,Data_Validation!$A:$D,3,0)</f>
        <v>SAAQ</v>
      </c>
      <c r="AQ798" s="487" t="str">
        <f>+VLOOKUP($AJ798,Data_Validation!$A:$D,4,0)</f>
        <v>Inspection - Véhicules Interne</v>
      </c>
      <c r="AR798" s="487" t="s">
        <v>299</v>
      </c>
      <c r="AS798" s="487">
        <f>+VLOOKUP($AJ798,Data_Validation!$A:$E,5,0)</f>
        <v>0</v>
      </c>
      <c r="AT798" s="904" t="str">
        <f t="shared" si="86"/>
        <v>G66120</v>
      </c>
      <c r="AU798" s="488" t="str">
        <f t="shared" si="87"/>
        <v>COUT CLAIM CAMIONS MOYEN</v>
      </c>
      <c r="AV798" s="899">
        <f>IFERROR(INDEX(V798:AG798,1,MATCH(Parametres!$B$3,V$1:AG$1,0)-1)*IF(OR(C798="L",C798="S",C798="I"),-1,1),"")</f>
        <v>0</v>
      </c>
      <c r="AW798" s="899">
        <f t="shared" si="88"/>
        <v>0</v>
      </c>
      <c r="AX798" s="899">
        <f>INDEX(V798:AG798,1,MATCH(Parametres!$B$3,V$1:AG$1,0))*IF(OR(C798="L",C798="S",C798="I"),-1,1)</f>
        <v>0</v>
      </c>
      <c r="AY798" s="487" t="s">
        <v>337</v>
      </c>
      <c r="AZ798" s="487">
        <f>+VLOOKUP($AJ798,Data_Validation!$A:$E,5,0)</f>
        <v>0</v>
      </c>
    </row>
    <row r="799" spans="1:52" ht="15" hidden="1" customHeight="1">
      <c r="A799" s="706" t="s">
        <v>1147</v>
      </c>
      <c r="B799" s="706">
        <v>2025</v>
      </c>
      <c r="C799" s="706" t="s">
        <v>2845</v>
      </c>
      <c r="D799" s="706" t="s">
        <v>2846</v>
      </c>
      <c r="E799" s="706" t="s">
        <v>333</v>
      </c>
      <c r="F799" s="706" t="s">
        <v>1151</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G66140</v>
      </c>
      <c r="AK799" s="905" t="str">
        <f t="shared" si="84"/>
        <v>COUT SER RAP.CAMION MOYEN</v>
      </c>
      <c r="AL799" s="905">
        <f>IFERROR(INDEX(G799:R799,1,MATCH(Parametres!$B$3,G$1:R$1,0)-1)*IF(OR(F799="L",F799="S",F799="I"),-1,1),"")</f>
        <v>0</v>
      </c>
      <c r="AM799" s="905">
        <f t="shared" si="85"/>
        <v>0</v>
      </c>
      <c r="AN799" s="905">
        <f>INDEX(G799:R799,1,MATCH(Parametres!$B$3,G$1:R$1,0))*IF(OR(F799="L",F799="S",F799="I"),-1,1)</f>
        <v>0</v>
      </c>
      <c r="AO799" s="487" t="str">
        <f>+VLOOKUP($AJ799,Data_Validation!$A:$D,1,0)</f>
        <v>G66140</v>
      </c>
      <c r="AP799" s="487" t="str">
        <f>+VLOOKUP($AJ799,Data_Validation!$A:$D,3,0)</f>
        <v>SAAQ</v>
      </c>
      <c r="AQ799" s="487" t="str">
        <f>+VLOOKUP($AJ799,Data_Validation!$A:$D,4,0)</f>
        <v>Inspection - Véhicules Lourds</v>
      </c>
      <c r="AR799" s="487" t="s">
        <v>299</v>
      </c>
      <c r="AS799" s="487">
        <f>+VLOOKUP($AJ799,Data_Validation!$A:$E,5,0)</f>
        <v>0</v>
      </c>
      <c r="AT799" s="904" t="str">
        <f t="shared" si="86"/>
        <v>G66140</v>
      </c>
      <c r="AU799" s="488" t="str">
        <f t="shared" si="87"/>
        <v>COUT SER RAP.CAMION MOYEN</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1147</v>
      </c>
      <c r="B800" s="706">
        <v>2025</v>
      </c>
      <c r="C800" s="706" t="s">
        <v>2847</v>
      </c>
      <c r="D800" s="706" t="s">
        <v>2848</v>
      </c>
      <c r="E800" s="706" t="s">
        <v>333</v>
      </c>
      <c r="F800" s="706" t="s">
        <v>1151</v>
      </c>
      <c r="G800" s="706">
        <v>12191.04</v>
      </c>
      <c r="H800" s="706">
        <v>26588.38</v>
      </c>
      <c r="I800" s="706">
        <v>49325.26</v>
      </c>
      <c r="J800" s="706">
        <v>62737.81</v>
      </c>
      <c r="K800" s="706">
        <v>83403.23</v>
      </c>
      <c r="L800" s="706">
        <v>98375.24</v>
      </c>
      <c r="M800" s="706">
        <v>110849.52</v>
      </c>
      <c r="N800" s="706">
        <v>127894.27</v>
      </c>
      <c r="O800" s="706">
        <v>147664.71</v>
      </c>
      <c r="P800" s="706">
        <v>163100.34</v>
      </c>
      <c r="Q800" s="706">
        <v>173106.43</v>
      </c>
      <c r="R800" s="706">
        <v>185246.93</v>
      </c>
      <c r="S800" s="706">
        <v>15736.95</v>
      </c>
      <c r="T800" s="706">
        <v>15736.95</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G66200</v>
      </c>
      <c r="AK800" s="905" t="str">
        <f t="shared" si="84"/>
        <v>COUT-M.D. GARANTIE</v>
      </c>
      <c r="AL800" s="905">
        <f>IFERROR(INDEX(G800:R800,1,MATCH(Parametres!$B$3,G$1:R$1,0)-1)*IF(OR(F800="L",F800="S",F800="I"),-1,1),"")</f>
        <v>173106.43</v>
      </c>
      <c r="AM800" s="905">
        <f t="shared" si="85"/>
        <v>12140.5</v>
      </c>
      <c r="AN800" s="905">
        <f>INDEX(G800:R800,1,MATCH(Parametres!$B$3,G$1:R$1,0))*IF(OR(F800="L",F800="S",F800="I"),-1,1)</f>
        <v>185246.93</v>
      </c>
      <c r="AO800" s="487" t="str">
        <f>+VLOOKUP($AJ800,Data_Validation!$A:$D,1,0)</f>
        <v>G66200</v>
      </c>
      <c r="AP800" s="487" t="str">
        <f>+VLOOKUP($AJ800,Data_Validation!$A:$D,3,0)</f>
        <v>Service</v>
      </c>
      <c r="AQ800" s="487" t="str">
        <f>+VLOOKUP($AJ800,Data_Validation!$A:$D,4,0)</f>
        <v>M/O Garantie</v>
      </c>
      <c r="AR800" s="487" t="s">
        <v>299</v>
      </c>
      <c r="AS800" s="487">
        <f>+VLOOKUP($AJ800,Data_Validation!$A:$E,5,0)</f>
        <v>0</v>
      </c>
      <c r="AT800" s="904" t="str">
        <f t="shared" si="86"/>
        <v>G66200</v>
      </c>
      <c r="AU800" s="488" t="str">
        <f t="shared" si="87"/>
        <v>COUT-M.D. GARANTIE</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1147</v>
      </c>
      <c r="B801" s="706">
        <v>2025</v>
      </c>
      <c r="C801" s="706" t="s">
        <v>2849</v>
      </c>
      <c r="D801" s="706" t="s">
        <v>2850</v>
      </c>
      <c r="E801" s="706" t="s">
        <v>333</v>
      </c>
      <c r="F801" s="706" t="s">
        <v>1151</v>
      </c>
      <c r="G801" s="706">
        <v>18846.91</v>
      </c>
      <c r="H801" s="706">
        <v>28652.240000000002</v>
      </c>
      <c r="I801" s="706">
        <v>42426.28</v>
      </c>
      <c r="J801" s="706">
        <v>61204.74</v>
      </c>
      <c r="K801" s="706">
        <v>76082.3</v>
      </c>
      <c r="L801" s="706">
        <v>86121.77</v>
      </c>
      <c r="M801" s="706">
        <v>96395.94</v>
      </c>
      <c r="N801" s="706">
        <v>110509.83</v>
      </c>
      <c r="O801" s="706">
        <v>123692.3</v>
      </c>
      <c r="P801" s="706">
        <v>138754.70000000001</v>
      </c>
      <c r="Q801" s="706">
        <v>153565.18</v>
      </c>
      <c r="R801" s="706">
        <v>168606.74</v>
      </c>
      <c r="S801" s="706">
        <v>13960.47</v>
      </c>
      <c r="T801" s="706">
        <v>13960.47</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G66300</v>
      </c>
      <c r="AK801" s="905" t="str">
        <f t="shared" si="84"/>
        <v>COUT-M.D. INTERNE</v>
      </c>
      <c r="AL801" s="905">
        <f>IFERROR(INDEX(G801:R801,1,MATCH(Parametres!$B$3,G$1:R$1,0)-1)*IF(OR(F801="L",F801="S",F801="I"),-1,1),"")</f>
        <v>153565.18</v>
      </c>
      <c r="AM801" s="905">
        <f t="shared" si="85"/>
        <v>15041.559999999998</v>
      </c>
      <c r="AN801" s="905">
        <f>INDEX(G801:R801,1,MATCH(Parametres!$B$3,G$1:R$1,0))*IF(OR(F801="L",F801="S",F801="I"),-1,1)</f>
        <v>168606.74</v>
      </c>
      <c r="AO801" s="487" t="str">
        <f>+VLOOKUP($AJ801,Data_Validation!$A:$D,1,0)</f>
        <v>G66300</v>
      </c>
      <c r="AP801" s="487" t="str">
        <f>+VLOOKUP($AJ801,Data_Validation!$A:$D,3,0)</f>
        <v>Service</v>
      </c>
      <c r="AQ801" s="487" t="str">
        <f>+VLOOKUP($AJ801,Data_Validation!$A:$D,4,0)</f>
        <v>M/O Interne</v>
      </c>
      <c r="AR801" s="487" t="s">
        <v>299</v>
      </c>
      <c r="AS801" s="487">
        <f>+VLOOKUP($AJ801,Data_Validation!$A:$E,5,0)</f>
        <v>0</v>
      </c>
      <c r="AT801" s="904" t="str">
        <f t="shared" si="86"/>
        <v>G66300</v>
      </c>
      <c r="AU801" s="488" t="str">
        <f t="shared" si="87"/>
        <v>COUT-M.D. INTERNE</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hidden="1" customHeight="1">
      <c r="A802" s="706" t="s">
        <v>1147</v>
      </c>
      <c r="B802" s="706">
        <v>2025</v>
      </c>
      <c r="C802" s="706" t="s">
        <v>2851</v>
      </c>
      <c r="D802" s="706" t="s">
        <v>2852</v>
      </c>
      <c r="E802" s="706" t="s">
        <v>333</v>
      </c>
      <c r="F802" s="706" t="s">
        <v>1151</v>
      </c>
      <c r="G802" s="706">
        <v>26.51</v>
      </c>
      <c r="H802" s="706">
        <v>26.51</v>
      </c>
      <c r="I802" s="706">
        <v>67.819999999999993</v>
      </c>
      <c r="J802" s="706">
        <v>162.22999999999999</v>
      </c>
      <c r="K802" s="706">
        <v>624.79</v>
      </c>
      <c r="L802" s="706">
        <v>1074.82</v>
      </c>
      <c r="M802" s="706">
        <v>1804.85</v>
      </c>
      <c r="N802" s="706">
        <v>2307.4</v>
      </c>
      <c r="O802" s="706">
        <v>2519.5500000000002</v>
      </c>
      <c r="P802" s="706">
        <v>2936.96</v>
      </c>
      <c r="Q802" s="706">
        <v>3410.42</v>
      </c>
      <c r="R802" s="706">
        <v>3461.35</v>
      </c>
      <c r="S802" s="706">
        <v>310.04000000000002</v>
      </c>
      <c r="T802" s="706">
        <v>310.04000000000002</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G66320</v>
      </c>
      <c r="AK802" s="905" t="str">
        <f t="shared" si="84"/>
        <v>COUT-MO INTERNE CAM MOYEN</v>
      </c>
      <c r="AL802" s="905">
        <f>IFERROR(INDEX(G802:R802,1,MATCH(Parametres!$B$3,G$1:R$1,0)-1)*IF(OR(F802="L",F802="S",F802="I"),-1,1),"")</f>
        <v>3410.42</v>
      </c>
      <c r="AM802" s="905">
        <f t="shared" si="85"/>
        <v>50.929999999999836</v>
      </c>
      <c r="AN802" s="905">
        <f>INDEX(G802:R802,1,MATCH(Parametres!$B$3,G$1:R$1,0))*IF(OR(F802="L",F802="S",F802="I"),-1,1)</f>
        <v>3461.35</v>
      </c>
      <c r="AO802" s="487" t="str">
        <f>+VLOOKUP($AJ802,Data_Validation!$A:$D,1,0)</f>
        <v>G66320</v>
      </c>
      <c r="AP802" s="487" t="str">
        <f>+VLOOKUP($AJ802,Data_Validation!$A:$D,3,0)</f>
        <v>SAAQ</v>
      </c>
      <c r="AQ802" s="487" t="str">
        <f>+VLOOKUP($AJ802,Data_Validation!$A:$D,4,0)</f>
        <v>Inspection - Véhicules Interne</v>
      </c>
      <c r="AR802" s="487" t="s">
        <v>299</v>
      </c>
      <c r="AS802" s="487">
        <f>+VLOOKUP($AJ802,Data_Validation!$A:$E,5,0)</f>
        <v>0</v>
      </c>
      <c r="AT802" s="904" t="str">
        <f t="shared" si="86"/>
        <v>G66320</v>
      </c>
      <c r="AU802" s="488" t="str">
        <f t="shared" si="87"/>
        <v>COUT-MO INTERNE CAM MOYEN</v>
      </c>
      <c r="AV802" s="899">
        <f>IFERROR(INDEX(V802:AG802,1,MATCH(Parametres!$B$3,V$1:AG$1,0)-1)*IF(OR(C802="L",C802="S",C802="I"),-1,1),"")</f>
        <v>0</v>
      </c>
      <c r="AW802" s="899">
        <f t="shared" si="88"/>
        <v>0</v>
      </c>
      <c r="AX802" s="899">
        <f>INDEX(V802:AG802,1,MATCH(Parametres!$B$3,V$1:AG$1,0))*IF(OR(C802="L",C802="S",C802="I"),-1,1)</f>
        <v>0</v>
      </c>
      <c r="AY802" s="487" t="s">
        <v>337</v>
      </c>
      <c r="AZ802" s="487">
        <f>+VLOOKUP($AJ802,Data_Validation!$A:$E,5,0)</f>
        <v>0</v>
      </c>
    </row>
    <row r="803" spans="1:52" ht="15" hidden="1" customHeight="1">
      <c r="A803" s="706" t="s">
        <v>1147</v>
      </c>
      <c r="B803" s="706">
        <v>2025</v>
      </c>
      <c r="C803" s="706" t="s">
        <v>2853</v>
      </c>
      <c r="D803" s="706" t="s">
        <v>2854</v>
      </c>
      <c r="E803" s="706" t="s">
        <v>333</v>
      </c>
      <c r="F803" s="706" t="s">
        <v>1151</v>
      </c>
      <c r="G803" s="706">
        <v>5597.19</v>
      </c>
      <c r="H803" s="706">
        <v>10564</v>
      </c>
      <c r="I803" s="706">
        <v>18228.099999999999</v>
      </c>
      <c r="J803" s="706">
        <v>25569.69</v>
      </c>
      <c r="K803" s="706">
        <v>33052.15</v>
      </c>
      <c r="L803" s="706">
        <v>41385.620000000003</v>
      </c>
      <c r="M803" s="706">
        <v>45926.15</v>
      </c>
      <c r="N803" s="706">
        <v>47616.54</v>
      </c>
      <c r="O803" s="706">
        <v>51841.19</v>
      </c>
      <c r="P803" s="706">
        <v>57355.91</v>
      </c>
      <c r="Q803" s="706">
        <v>59595.54</v>
      </c>
      <c r="R803" s="706">
        <v>63401.06</v>
      </c>
      <c r="S803" s="706">
        <v>5417.78</v>
      </c>
      <c r="T803" s="706">
        <v>5417.78</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G66400</v>
      </c>
      <c r="AK803" s="905" t="str">
        <f t="shared" si="84"/>
        <v>COUT-M.D. INSP.</v>
      </c>
      <c r="AL803" s="905">
        <f>IFERROR(INDEX(G803:R803,1,MATCH(Parametres!$B$3,G$1:R$1,0)-1)*IF(OR(F803="L",F803="S",F803="I"),-1,1),"")</f>
        <v>59595.54</v>
      </c>
      <c r="AM803" s="905">
        <f t="shared" si="85"/>
        <v>3805.5199999999968</v>
      </c>
      <c r="AN803" s="905">
        <f>INDEX(G803:R803,1,MATCH(Parametres!$B$3,G$1:R$1,0))*IF(OR(F803="L",F803="S",F803="I"),-1,1)</f>
        <v>63401.06</v>
      </c>
      <c r="AO803" s="487" t="str">
        <f>+VLOOKUP($AJ803,Data_Validation!$A:$D,1,0)</f>
        <v>G66400</v>
      </c>
      <c r="AP803" s="487" t="str">
        <f>+VLOOKUP($AJ803,Data_Validation!$A:$D,3,0)</f>
        <v>Service</v>
      </c>
      <c r="AQ803" s="487" t="str">
        <f>+VLOOKUP($AJ803,Data_Validation!$A:$D,4,0)</f>
        <v>M/O Interne</v>
      </c>
      <c r="AR803" s="487" t="s">
        <v>299</v>
      </c>
      <c r="AS803" s="487">
        <f>+VLOOKUP($AJ803,Data_Validation!$A:$E,5,0)</f>
        <v>0</v>
      </c>
      <c r="AT803" s="904" t="str">
        <f t="shared" si="86"/>
        <v>G66400</v>
      </c>
      <c r="AU803" s="488" t="str">
        <f t="shared" si="87"/>
        <v>COUT-M.D. INSP.</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customHeight="1">
      <c r="A804" s="706" t="s">
        <v>1147</v>
      </c>
      <c r="B804" s="706">
        <v>2025</v>
      </c>
      <c r="C804" s="706" t="s">
        <v>2855</v>
      </c>
      <c r="D804" s="706" t="s">
        <v>2856</v>
      </c>
      <c r="E804" s="706" t="s">
        <v>333</v>
      </c>
      <c r="F804" s="706" t="s">
        <v>1151</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G66420</v>
      </c>
      <c r="AK804" s="905" t="str">
        <f t="shared" si="84"/>
        <v>COUT-MO INSPECTON PDI</v>
      </c>
      <c r="AL804" s="905">
        <f>IFERROR(INDEX(G804:R804,1,MATCH(Parametres!$B$3,G$1:R$1,0)-1)*IF(OR(F804="L",F804="S",F804="I"),-1,1),"")</f>
        <v>0</v>
      </c>
      <c r="AM804" s="905">
        <f t="shared" si="8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t="str">
        <f t="shared" si="86"/>
        <v>G66420</v>
      </c>
      <c r="AU804" s="488" t="str">
        <f t="shared" si="87"/>
        <v>COUT-MO INSPECTON PDI</v>
      </c>
      <c r="AV804" s="899">
        <f>IFERROR(INDEX(V804:AG804,1,MATCH(Parametres!$B$3,V$1:AG$1,0)-1)*IF(OR(C804="L",C804="S",C804="I"),-1,1),"")</f>
        <v>0</v>
      </c>
      <c r="AW804" s="899">
        <f t="shared" si="88"/>
        <v>0</v>
      </c>
      <c r="AX804" s="899">
        <f>INDEX(V804:AG804,1,MATCH(Parametres!$B$3,V$1:AG$1,0))*IF(OR(C804="L",C804="S",C804="I"),-1,1)</f>
        <v>0</v>
      </c>
      <c r="AY804" s="487" t="s">
        <v>337</v>
      </c>
      <c r="AZ804" s="487" t="e">
        <f>+VLOOKUP($AJ804,Data_Validation!$A:$E,5,0)</f>
        <v>#N/A</v>
      </c>
    </row>
    <row r="805" spans="1:52" ht="15" hidden="1" customHeight="1">
      <c r="A805" s="706" t="s">
        <v>1147</v>
      </c>
      <c r="B805" s="706">
        <v>2025</v>
      </c>
      <c r="C805" s="706" t="s">
        <v>2857</v>
      </c>
      <c r="D805" s="706" t="s">
        <v>2858</v>
      </c>
      <c r="E805" s="706" t="s">
        <v>333</v>
      </c>
      <c r="F805" s="706" t="s">
        <v>1151</v>
      </c>
      <c r="G805" s="706">
        <v>-4351.97</v>
      </c>
      <c r="H805" s="706">
        <v>-9715.91</v>
      </c>
      <c r="I805" s="706">
        <v>-15388.43</v>
      </c>
      <c r="J805" s="706">
        <v>-16480.3</v>
      </c>
      <c r="K805" s="706">
        <v>-23942.25</v>
      </c>
      <c r="L805" s="706">
        <v>-20195.849999999999</v>
      </c>
      <c r="M805" s="706">
        <v>-21987.74</v>
      </c>
      <c r="N805" s="706">
        <v>-23291.599999999999</v>
      </c>
      <c r="O805" s="706">
        <v>-24960.49</v>
      </c>
      <c r="P805" s="706">
        <v>-24970.18</v>
      </c>
      <c r="Q805" s="706">
        <v>-18629.88</v>
      </c>
      <c r="R805" s="706">
        <v>-15617.08</v>
      </c>
      <c r="S805" s="706">
        <v>-1693.63</v>
      </c>
      <c r="T805" s="706">
        <v>-1693.63</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G66500</v>
      </c>
      <c r="AK805" s="905" t="str">
        <f t="shared" si="84"/>
        <v>TEMPS PERDU SERVICE</v>
      </c>
      <c r="AL805" s="905">
        <f>IFERROR(INDEX(G805:R805,1,MATCH(Parametres!$B$3,G$1:R$1,0)-1)*IF(OR(F805="L",F805="S",F805="I"),-1,1),"")</f>
        <v>-18629.88</v>
      </c>
      <c r="AM805" s="905">
        <f t="shared" si="85"/>
        <v>3012.8000000000011</v>
      </c>
      <c r="AN805" s="905">
        <f>INDEX(G805:R805,1,MATCH(Parametres!$B$3,G$1:R$1,0))*IF(OR(F805="L",F805="S",F805="I"),-1,1)</f>
        <v>-15617.08</v>
      </c>
      <c r="AO805" s="487" t="str">
        <f>+VLOOKUP($AJ805,Data_Validation!$A:$D,1,0)</f>
        <v>G66500</v>
      </c>
      <c r="AP805" s="487" t="str">
        <f>+VLOOKUP($AJ805,Data_Validation!$A:$D,3,0)</f>
        <v>Service</v>
      </c>
      <c r="AQ805" s="487" t="str">
        <f>+VLOOKUP($AJ805,Data_Validation!$A:$D,4,0)</f>
        <v>Ajustement M/O</v>
      </c>
      <c r="AR805" s="487" t="s">
        <v>299</v>
      </c>
      <c r="AS805" s="487">
        <f>+VLOOKUP($AJ805,Data_Validation!$A:$E,5,0)</f>
        <v>0</v>
      </c>
      <c r="AT805" s="904" t="str">
        <f t="shared" si="86"/>
        <v>G66500</v>
      </c>
      <c r="AU805" s="488" t="str">
        <f t="shared" si="87"/>
        <v>TEMPS PERDU SERVICE</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hidden="1" customHeight="1">
      <c r="A806" s="706" t="s">
        <v>1147</v>
      </c>
      <c r="B806" s="706">
        <v>2025</v>
      </c>
      <c r="C806" s="706" t="s">
        <v>2859</v>
      </c>
      <c r="D806" s="706" t="s">
        <v>2860</v>
      </c>
      <c r="E806" s="706" t="s">
        <v>333</v>
      </c>
      <c r="F806" s="706" t="s">
        <v>1151</v>
      </c>
      <c r="G806" s="706">
        <v>13358.05</v>
      </c>
      <c r="H806" s="706">
        <v>23040.15</v>
      </c>
      <c r="I806" s="706">
        <v>33053.4</v>
      </c>
      <c r="J806" s="706">
        <v>59592.43</v>
      </c>
      <c r="K806" s="706">
        <v>75610.89</v>
      </c>
      <c r="L806" s="706">
        <v>103082.07</v>
      </c>
      <c r="M806" s="706">
        <v>119921.75</v>
      </c>
      <c r="N806" s="706">
        <v>140204.43</v>
      </c>
      <c r="O806" s="706">
        <v>154648.20000000001</v>
      </c>
      <c r="P806" s="706">
        <v>175285.35</v>
      </c>
      <c r="Q806" s="706">
        <v>184039.23</v>
      </c>
      <c r="R806" s="706">
        <v>190263.18</v>
      </c>
      <c r="S806" s="706">
        <v>16730.84</v>
      </c>
      <c r="T806" s="706">
        <v>16730.84</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G66600</v>
      </c>
      <c r="AK806" s="905" t="str">
        <f t="shared" si="84"/>
        <v>COUT-SOUS-CONTRATS SERV.</v>
      </c>
      <c r="AL806" s="905">
        <f>IFERROR(INDEX(G806:R806,1,MATCH(Parametres!$B$3,G$1:R$1,0)-1)*IF(OR(F806="L",F806="S",F806="I"),-1,1),"")</f>
        <v>184039.23</v>
      </c>
      <c r="AM806" s="905">
        <f t="shared" si="85"/>
        <v>6223.9499999999825</v>
      </c>
      <c r="AN806" s="905">
        <f>INDEX(G806:R806,1,MATCH(Parametres!$B$3,G$1:R$1,0))*IF(OR(F806="L",F806="S",F806="I"),-1,1)</f>
        <v>190263.18</v>
      </c>
      <c r="AO806" s="487" t="str">
        <f>+VLOOKUP($AJ806,Data_Validation!$A:$D,1,0)</f>
        <v>G66600</v>
      </c>
      <c r="AP806" s="487" t="str">
        <f>+VLOOKUP($AJ806,Data_Validation!$A:$D,3,0)</f>
        <v>Service</v>
      </c>
      <c r="AQ806" s="487" t="str">
        <f>+VLOOKUP($AJ806,Data_Validation!$A:$D,4,0)</f>
        <v>Sous-traitement</v>
      </c>
      <c r="AR806" s="487" t="s">
        <v>299</v>
      </c>
      <c r="AS806" s="487">
        <f>+VLOOKUP($AJ806,Data_Validation!$A:$E,5,0)</f>
        <v>0</v>
      </c>
      <c r="AT806" s="904" t="str">
        <f t="shared" si="86"/>
        <v>G66600</v>
      </c>
      <c r="AU806" s="488" t="str">
        <f t="shared" si="87"/>
        <v>COUT-SOUS-CONTRATS SERV.</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hidden="1" customHeight="1">
      <c r="A807" s="706" t="s">
        <v>1147</v>
      </c>
      <c r="B807" s="706">
        <v>2025</v>
      </c>
      <c r="C807" s="706" t="s">
        <v>2861</v>
      </c>
      <c r="D807" s="706" t="s">
        <v>2862</v>
      </c>
      <c r="E807" s="706" t="s">
        <v>333</v>
      </c>
      <c r="F807" s="706" t="s">
        <v>1151</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G66610</v>
      </c>
      <c r="AK807" s="905" t="str">
        <f t="shared" si="84"/>
        <v>COUT-REPAR. PARE-BRISES</v>
      </c>
      <c r="AL807" s="905">
        <f>IFERROR(INDEX(G807:R807,1,MATCH(Parametres!$B$3,G$1:R$1,0)-1)*IF(OR(F807="L",F807="S",F807="I"),-1,1),"")</f>
        <v>0</v>
      </c>
      <c r="AM807" s="905">
        <f t="shared" si="85"/>
        <v>0</v>
      </c>
      <c r="AN807" s="905">
        <f>INDEX(G807:R807,1,MATCH(Parametres!$B$3,G$1:R$1,0))*IF(OR(F807="L",F807="S",F807="I"),-1,1)</f>
        <v>0</v>
      </c>
      <c r="AO807" s="487" t="str">
        <f>+VLOOKUP($AJ807,Data_Validation!$A:$D,1,0)</f>
        <v>G66610</v>
      </c>
      <c r="AP807" s="487" t="str">
        <f>+VLOOKUP($AJ807,Data_Validation!$A:$D,3,0)</f>
        <v>SAAQ</v>
      </c>
      <c r="AQ807" s="487" t="str">
        <f>+VLOOKUP($AJ807,Data_Validation!$A:$D,4,0)</f>
        <v>Inspection - Véhicules Interne</v>
      </c>
      <c r="AR807" s="487" t="s">
        <v>299</v>
      </c>
      <c r="AS807" s="487">
        <f>+VLOOKUP($AJ807,Data_Validation!$A:$E,5,0)</f>
        <v>0</v>
      </c>
      <c r="AT807" s="904" t="str">
        <f t="shared" si="86"/>
        <v>G66610</v>
      </c>
      <c r="AU807" s="488" t="str">
        <f t="shared" si="87"/>
        <v>COUT-REPAR. PARE-BRISES</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1147</v>
      </c>
      <c r="B808" s="706">
        <v>2025</v>
      </c>
      <c r="C808" s="706" t="s">
        <v>2863</v>
      </c>
      <c r="D808" s="706" t="s">
        <v>2864</v>
      </c>
      <c r="E808" s="706" t="s">
        <v>333</v>
      </c>
      <c r="F808" s="706" t="s">
        <v>1151</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G66611</v>
      </c>
      <c r="AK808" s="905" t="str">
        <f t="shared" si="84"/>
        <v>SUPER VITRE COUT SUBLET</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G66611</v>
      </c>
      <c r="AU808" s="488" t="str">
        <f t="shared" si="87"/>
        <v>SUPER VITRE COUT SUBLET</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1147</v>
      </c>
      <c r="B809" s="706">
        <v>2025</v>
      </c>
      <c r="C809" s="706" t="s">
        <v>2865</v>
      </c>
      <c r="D809" s="706" t="s">
        <v>2866</v>
      </c>
      <c r="E809" s="706" t="s">
        <v>333</v>
      </c>
      <c r="F809" s="706" t="s">
        <v>1151</v>
      </c>
      <c r="G809" s="706">
        <v>40369.550000000003</v>
      </c>
      <c r="H809" s="706">
        <v>75167.399999999994</v>
      </c>
      <c r="I809" s="706">
        <v>110077.19</v>
      </c>
      <c r="J809" s="706">
        <v>152298.59</v>
      </c>
      <c r="K809" s="706">
        <v>198181.41</v>
      </c>
      <c r="L809" s="706">
        <v>228054.64</v>
      </c>
      <c r="M809" s="706">
        <v>262957.71999999997</v>
      </c>
      <c r="N809" s="706">
        <v>291425.81</v>
      </c>
      <c r="O809" s="706">
        <v>323914.53999999998</v>
      </c>
      <c r="P809" s="706">
        <v>373354.22</v>
      </c>
      <c r="Q809" s="706">
        <v>423790.11</v>
      </c>
      <c r="R809" s="706">
        <v>468891.26</v>
      </c>
      <c r="S809" s="706">
        <v>38526.370000000003</v>
      </c>
      <c r="T809" s="706">
        <v>38526.370000000003</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G66710</v>
      </c>
      <c r="AK809" s="905" t="str">
        <f t="shared" si="84"/>
        <v>COUT P&amp;A SERV.CLIENT AUTO</v>
      </c>
      <c r="AL809" s="905">
        <f>IFERROR(INDEX(G809:R809,1,MATCH(Parametres!$B$3,G$1:R$1,0)-1)*IF(OR(F809="L",F809="S",F809="I"),-1,1),"")</f>
        <v>423790.11</v>
      </c>
      <c r="AM809" s="905">
        <f t="shared" si="85"/>
        <v>45101.150000000023</v>
      </c>
      <c r="AN809" s="905">
        <f>INDEX(G809:R809,1,MATCH(Parametres!$B$3,G$1:R$1,0))*IF(OR(F809="L",F809="S",F809="I"),-1,1)</f>
        <v>468891.26</v>
      </c>
      <c r="AO809" s="487" t="str">
        <f>+VLOOKUP($AJ809,Data_Validation!$A:$D,1,0)</f>
        <v>G66710</v>
      </c>
      <c r="AP809" s="487" t="str">
        <f>+VLOOKUP($AJ809,Data_Validation!$A:$D,3,0)</f>
        <v>Pièces</v>
      </c>
      <c r="AQ809" s="487" t="str">
        <f>+VLOOKUP($AJ809,Data_Validation!$A:$D,4,0)</f>
        <v>Pièces Ro Clients</v>
      </c>
      <c r="AR809" s="487" t="s">
        <v>299</v>
      </c>
      <c r="AS809" s="487">
        <f>+VLOOKUP($AJ809,Data_Validation!$A:$E,5,0)</f>
        <v>0</v>
      </c>
      <c r="AT809" s="904" t="str">
        <f t="shared" si="86"/>
        <v>G66710</v>
      </c>
      <c r="AU809" s="488" t="str">
        <f t="shared" si="87"/>
        <v>COUT P&amp;A SERV.CLIENT AUTO</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1147</v>
      </c>
      <c r="B810" s="706">
        <v>2025</v>
      </c>
      <c r="C810" s="706" t="s">
        <v>2867</v>
      </c>
      <c r="D810" s="706" t="s">
        <v>2868</v>
      </c>
      <c r="E810" s="706" t="s">
        <v>333</v>
      </c>
      <c r="F810" s="706" t="s">
        <v>1151</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G66720</v>
      </c>
      <c r="AK810" s="905" t="str">
        <f t="shared" si="84"/>
        <v>COUT-P&amp;A SERV.PL.PROT.AUT</v>
      </c>
      <c r="AL810" s="905">
        <f>IFERROR(INDEX(G810:R810,1,MATCH(Parametres!$B$3,G$1:R$1,0)-1)*IF(OR(F810="L",F810="S",F810="I"),-1,1),"")</f>
        <v>0</v>
      </c>
      <c r="AM810" s="905">
        <f t="shared" si="85"/>
        <v>0</v>
      </c>
      <c r="AN810" s="905">
        <f>INDEX(G810:R810,1,MATCH(Parametres!$B$3,G$1:R$1,0))*IF(OR(F810="L",F810="S",F810="I"),-1,1)</f>
        <v>0</v>
      </c>
      <c r="AO810" s="487" t="str">
        <f>+VLOOKUP($AJ810,Data_Validation!$A:$D,1,0)</f>
        <v>G66720</v>
      </c>
      <c r="AP810" s="487" t="str">
        <f>+VLOOKUP($AJ810,Data_Validation!$A:$D,3,0)</f>
        <v>Pièces</v>
      </c>
      <c r="AQ810" s="487" t="str">
        <f>+VLOOKUP($AJ810,Data_Validation!$A:$D,4,0)</f>
        <v>Pièces Ro Clients</v>
      </c>
      <c r="AR810" s="487" t="s">
        <v>299</v>
      </c>
      <c r="AS810" s="487">
        <f>+VLOOKUP($AJ810,Data_Validation!$A:$E,5,0)</f>
        <v>0</v>
      </c>
      <c r="AT810" s="904" t="str">
        <f t="shared" si="86"/>
        <v>G66720</v>
      </c>
      <c r="AU810" s="488" t="str">
        <f t="shared" si="87"/>
        <v>COUT-P&amp;A SERV.PL.PROT.AUT</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customHeight="1">
      <c r="A811" s="706" t="s">
        <v>1147</v>
      </c>
      <c r="B811" s="706">
        <v>2025</v>
      </c>
      <c r="C811" s="706" t="s">
        <v>2869</v>
      </c>
      <c r="D811" s="706" t="s">
        <v>2870</v>
      </c>
      <c r="E811" s="706" t="s">
        <v>333</v>
      </c>
      <c r="F811" s="706" t="s">
        <v>1151</v>
      </c>
      <c r="G811" s="706">
        <v>0</v>
      </c>
      <c r="H811" s="706">
        <v>0</v>
      </c>
      <c r="I811" s="706">
        <v>0</v>
      </c>
      <c r="J811" s="706">
        <v>0</v>
      </c>
      <c r="K811" s="706">
        <v>0</v>
      </c>
      <c r="L811" s="706">
        <v>0</v>
      </c>
      <c r="M811" s="706">
        <v>0</v>
      </c>
      <c r="N811" s="706">
        <v>0</v>
      </c>
      <c r="O811" s="706">
        <v>0</v>
      </c>
      <c r="P811" s="706">
        <v>0</v>
      </c>
      <c r="Q811" s="706">
        <v>0</v>
      </c>
      <c r="R811" s="706">
        <v>0</v>
      </c>
      <c r="S811" s="706">
        <v>0</v>
      </c>
      <c r="T811" s="706">
        <v>0</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G66740</v>
      </c>
      <c r="AK811" s="905" t="str">
        <f t="shared" si="84"/>
        <v>P&amp;A GOOD VOIT CAM LEGER</v>
      </c>
      <c r="AL811" s="905">
        <f>IFERROR(INDEX(G811:R811,1,MATCH(Parametres!$B$3,G$1:R$1,0)-1)*IF(OR(F811="L",F811="S",F811="I"),-1,1),"")</f>
        <v>0</v>
      </c>
      <c r="AM811" s="905">
        <f t="shared" si="85"/>
        <v>0</v>
      </c>
      <c r="AN811" s="905">
        <f>INDEX(G811:R811,1,MATCH(Parametres!$B$3,G$1:R$1,0))*IF(OR(F811="L",F811="S",F811="I"),-1,1)</f>
        <v>0</v>
      </c>
      <c r="AO811" s="487" t="str">
        <f>+VLOOKUP($AJ811,Data_Validation!$A:$D,1,0)</f>
        <v>G66740</v>
      </c>
      <c r="AP811" s="487">
        <f>+VLOOKUP($AJ811,Data_Validation!$A:$D,3,0)</f>
        <v>0</v>
      </c>
      <c r="AQ811" s="487">
        <f>+VLOOKUP($AJ811,Data_Validation!$A:$D,4,0)</f>
        <v>0</v>
      </c>
      <c r="AR811" s="487" t="s">
        <v>299</v>
      </c>
      <c r="AS811" s="487">
        <f>+VLOOKUP($AJ811,Data_Validation!$A:$E,5,0)</f>
        <v>0</v>
      </c>
      <c r="AT811" s="904" t="str">
        <f t="shared" si="86"/>
        <v>G66740</v>
      </c>
      <c r="AU811" s="488" t="str">
        <f t="shared" si="87"/>
        <v>P&amp;A GOOD VOIT CAM LEGER</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customHeight="1">
      <c r="A812" s="706" t="s">
        <v>1147</v>
      </c>
      <c r="B812" s="706">
        <v>2025</v>
      </c>
      <c r="C812" s="706" t="s">
        <v>2871</v>
      </c>
      <c r="D812" s="706" t="s">
        <v>2872</v>
      </c>
      <c r="E812" s="706" t="s">
        <v>333</v>
      </c>
      <c r="F812" s="706" t="s">
        <v>1151</v>
      </c>
      <c r="G812" s="706">
        <v>0</v>
      </c>
      <c r="H812" s="706">
        <v>0</v>
      </c>
      <c r="I812" s="706">
        <v>0</v>
      </c>
      <c r="J812" s="706">
        <v>0</v>
      </c>
      <c r="K812" s="706">
        <v>0</v>
      </c>
      <c r="L812" s="706">
        <v>0</v>
      </c>
      <c r="M812" s="706">
        <v>0</v>
      </c>
      <c r="N812" s="706">
        <v>0</v>
      </c>
      <c r="O812" s="706">
        <v>0</v>
      </c>
      <c r="P812" s="706">
        <v>0</v>
      </c>
      <c r="Q812" s="706">
        <v>0</v>
      </c>
      <c r="R812" s="706">
        <v>0</v>
      </c>
      <c r="S812" s="706">
        <v>0</v>
      </c>
      <c r="T812" s="706">
        <v>0</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G66800</v>
      </c>
      <c r="AK812" s="905" t="str">
        <f t="shared" si="84"/>
        <v>COUT-VOIT.OCC.EN GROS-DET</v>
      </c>
      <c r="AL812" s="905">
        <f>IFERROR(INDEX(G812:R812,1,MATCH(Parametres!$B$3,G$1:R$1,0)-1)*IF(OR(F812="L",F812="S",F812="I"),-1,1),"")</f>
        <v>0</v>
      </c>
      <c r="AM812" s="905">
        <f t="shared" si="85"/>
        <v>0</v>
      </c>
      <c r="AN812" s="905">
        <f>INDEX(G812:R812,1,MATCH(Parametres!$B$3,G$1:R$1,0))*IF(OR(F812="L",F812="S",F812="I"),-1,1)</f>
        <v>0</v>
      </c>
      <c r="AO812" s="487" t="str">
        <f>+VLOOKUP($AJ812,Data_Validation!$A:$D,1,0)</f>
        <v>G66800</v>
      </c>
      <c r="AP812" s="487">
        <f>+VLOOKUP($AJ812,Data_Validation!$A:$D,3,0)</f>
        <v>0</v>
      </c>
      <c r="AQ812" s="487">
        <f>+VLOOKUP($AJ812,Data_Validation!$A:$D,4,0)</f>
        <v>0</v>
      </c>
      <c r="AR812" s="487" t="s">
        <v>299</v>
      </c>
      <c r="AS812" s="487">
        <f>+VLOOKUP($AJ812,Data_Validation!$A:$E,5,0)</f>
        <v>0</v>
      </c>
      <c r="AT812" s="904" t="str">
        <f t="shared" si="86"/>
        <v>G66800</v>
      </c>
      <c r="AU812" s="488" t="str">
        <f t="shared" si="87"/>
        <v>COUT-VOIT.OCC.EN GROS-DET</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customHeight="1">
      <c r="A813" s="706" t="s">
        <v>1147</v>
      </c>
      <c r="B813" s="706">
        <v>2025</v>
      </c>
      <c r="C813" s="706" t="s">
        <v>2873</v>
      </c>
      <c r="D813" s="706" t="s">
        <v>2874</v>
      </c>
      <c r="E813" s="706" t="s">
        <v>333</v>
      </c>
      <c r="F813" s="706" t="s">
        <v>1151</v>
      </c>
      <c r="G813" s="706">
        <v>0</v>
      </c>
      <c r="H813" s="706">
        <v>0</v>
      </c>
      <c r="I813" s="706">
        <v>0</v>
      </c>
      <c r="J813" s="706">
        <v>0</v>
      </c>
      <c r="K813" s="706">
        <v>0</v>
      </c>
      <c r="L813" s="706">
        <v>0</v>
      </c>
      <c r="M813" s="706">
        <v>0</v>
      </c>
      <c r="N813" s="706">
        <v>0</v>
      </c>
      <c r="O813" s="706">
        <v>0</v>
      </c>
      <c r="P813" s="706">
        <v>0</v>
      </c>
      <c r="Q813" s="706">
        <v>0</v>
      </c>
      <c r="R813" s="706">
        <v>0</v>
      </c>
      <c r="S813" s="706">
        <v>0</v>
      </c>
      <c r="T813" s="706">
        <v>0</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G66810</v>
      </c>
      <c r="AK813" s="905" t="str">
        <f t="shared" si="84"/>
        <v>COUT-P&amp;A SERV.CLIENT CAM.</v>
      </c>
      <c r="AL813" s="905">
        <f>IFERROR(INDEX(G813:R813,1,MATCH(Parametres!$B$3,G$1:R$1,0)-1)*IF(OR(F813="L",F813="S",F813="I"),-1,1),"")</f>
        <v>0</v>
      </c>
      <c r="AM813" s="905">
        <f t="shared" si="85"/>
        <v>0</v>
      </c>
      <c r="AN813" s="905">
        <f>INDEX(G813:R813,1,MATCH(Parametres!$B$3,G$1:R$1,0))*IF(OR(F813="L",F813="S",F813="I"),-1,1)</f>
        <v>0</v>
      </c>
      <c r="AO813" s="487" t="str">
        <f>+VLOOKUP($AJ813,Data_Validation!$A:$D,1,0)</f>
        <v>G66810</v>
      </c>
      <c r="AP813" s="487">
        <f>+VLOOKUP($AJ813,Data_Validation!$A:$D,3,0)</f>
        <v>0</v>
      </c>
      <c r="AQ813" s="487">
        <f>+VLOOKUP($AJ813,Data_Validation!$A:$D,4,0)</f>
        <v>0</v>
      </c>
      <c r="AR813" s="487" t="s">
        <v>299</v>
      </c>
      <c r="AS813" s="487">
        <f>+VLOOKUP($AJ813,Data_Validation!$A:$E,5,0)</f>
        <v>0</v>
      </c>
      <c r="AT813" s="904" t="str">
        <f t="shared" si="86"/>
        <v>G66810</v>
      </c>
      <c r="AU813" s="488" t="str">
        <f t="shared" si="87"/>
        <v>COUT-P&amp;A SERV.CLIENT CAM.</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customHeight="1">
      <c r="A814" s="706" t="s">
        <v>1147</v>
      </c>
      <c r="B814" s="706">
        <v>2025</v>
      </c>
      <c r="C814" s="706" t="s">
        <v>2875</v>
      </c>
      <c r="D814" s="706" t="s">
        <v>2876</v>
      </c>
      <c r="E814" s="706" t="s">
        <v>333</v>
      </c>
      <c r="F814" s="706" t="s">
        <v>1151</v>
      </c>
      <c r="G814" s="706">
        <v>0</v>
      </c>
      <c r="H814" s="706">
        <v>0</v>
      </c>
      <c r="I814" s="706">
        <v>0</v>
      </c>
      <c r="J814" s="706">
        <v>0</v>
      </c>
      <c r="K814" s="706">
        <v>0</v>
      </c>
      <c r="L814" s="706">
        <v>0</v>
      </c>
      <c r="M814" s="706">
        <v>0</v>
      </c>
      <c r="N814" s="706">
        <v>0</v>
      </c>
      <c r="O814" s="706">
        <v>0</v>
      </c>
      <c r="P814" s="706">
        <v>0</v>
      </c>
      <c r="Q814" s="706">
        <v>0</v>
      </c>
      <c r="R814" s="706">
        <v>0</v>
      </c>
      <c r="S814" s="706">
        <v>0</v>
      </c>
      <c r="T814" s="706">
        <v>0</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G66840</v>
      </c>
      <c r="AK814" s="905" t="str">
        <f t="shared" si="84"/>
        <v>COUT-P&amp;A GOODWRENCH CAM.</v>
      </c>
      <c r="AL814" s="905">
        <f>IFERROR(INDEX(G814:R814,1,MATCH(Parametres!$B$3,G$1:R$1,0)-1)*IF(OR(F814="L",F814="S",F814="I"),-1,1),"")</f>
        <v>0</v>
      </c>
      <c r="AM814" s="905">
        <f t="shared" si="8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t="str">
        <f t="shared" si="86"/>
        <v>G66840</v>
      </c>
      <c r="AU814" s="488" t="str">
        <f t="shared" si="87"/>
        <v>COUT-P&amp;A GOODWRENCH CAM.</v>
      </c>
      <c r="AV814" s="899">
        <f>IFERROR(INDEX(V814:AG814,1,MATCH(Parametres!$B$3,V$1:AG$1,0)-1)*IF(OR(C814="L",C814="S",C814="I"),-1,1),"")</f>
        <v>0</v>
      </c>
      <c r="AW814" s="899">
        <f t="shared" si="88"/>
        <v>0</v>
      </c>
      <c r="AX814" s="899">
        <f>INDEX(V814:AG814,1,MATCH(Parametres!$B$3,V$1:AG$1,0))*IF(OR(C814="L",C814="S",C814="I"),-1,1)</f>
        <v>0</v>
      </c>
      <c r="AY814" s="487" t="s">
        <v>337</v>
      </c>
      <c r="AZ814" s="487" t="e">
        <f>+VLOOKUP($AJ814,Data_Validation!$A:$E,5,0)</f>
        <v>#N/A</v>
      </c>
    </row>
    <row r="815" spans="1:52" ht="15" hidden="1" customHeight="1">
      <c r="A815" s="706" t="s">
        <v>1147</v>
      </c>
      <c r="B815" s="706">
        <v>2025</v>
      </c>
      <c r="C815" s="706" t="s">
        <v>2877</v>
      </c>
      <c r="D815" s="706" t="s">
        <v>2878</v>
      </c>
      <c r="E815" s="706" t="s">
        <v>333</v>
      </c>
      <c r="F815" s="706" t="s">
        <v>1151</v>
      </c>
      <c r="G815" s="706">
        <v>0</v>
      </c>
      <c r="H815" s="706">
        <v>0</v>
      </c>
      <c r="I815" s="706">
        <v>0</v>
      </c>
      <c r="J815" s="706">
        <v>0</v>
      </c>
      <c r="K815" s="706">
        <v>0</v>
      </c>
      <c r="L815" s="706">
        <v>8092.18</v>
      </c>
      <c r="M815" s="706">
        <v>9461.89</v>
      </c>
      <c r="N815" s="706">
        <v>12116.83</v>
      </c>
      <c r="O815" s="706">
        <v>12116.83</v>
      </c>
      <c r="P815" s="706">
        <v>12261.82</v>
      </c>
      <c r="Q815" s="706">
        <v>19058.400000000001</v>
      </c>
      <c r="R815" s="706">
        <v>23238.87</v>
      </c>
      <c r="S815" s="706">
        <v>1732.58</v>
      </c>
      <c r="T815" s="706">
        <v>1732.58</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G66900</v>
      </c>
      <c r="AK815" s="905" t="str">
        <f t="shared" si="84"/>
        <v>COUT MATERIEL ATELIER</v>
      </c>
      <c r="AL815" s="905">
        <f>IFERROR(INDEX(G815:R815,1,MATCH(Parametres!$B$3,G$1:R$1,0)-1)*IF(OR(F815="L",F815="S",F815="I"),-1,1),"")</f>
        <v>19058.400000000001</v>
      </c>
      <c r="AM815" s="905">
        <f t="shared" si="85"/>
        <v>4180.4699999999975</v>
      </c>
      <c r="AN815" s="905">
        <f>INDEX(G815:R815,1,MATCH(Parametres!$B$3,G$1:R$1,0))*IF(OR(F815="L",F815="S",F815="I"),-1,1)</f>
        <v>23238.87</v>
      </c>
      <c r="AO815" s="487" t="str">
        <f>+VLOOKUP($AJ815,Data_Validation!$A:$D,1,0)</f>
        <v>G66900</v>
      </c>
      <c r="AP815" s="487" t="str">
        <f>+VLOOKUP($AJ815,Data_Validation!$A:$D,3,0)</f>
        <v>Service</v>
      </c>
      <c r="AQ815" s="487" t="str">
        <f>+VLOOKUP($AJ815,Data_Validation!$A:$D,4,0)</f>
        <v>Sous-traitement</v>
      </c>
      <c r="AR815" s="487" t="s">
        <v>299</v>
      </c>
      <c r="AS815" s="487">
        <f>+VLOOKUP($AJ815,Data_Validation!$A:$E,5,0)</f>
        <v>0</v>
      </c>
      <c r="AT815" s="904" t="str">
        <f t="shared" si="86"/>
        <v>G66900</v>
      </c>
      <c r="AU815" s="488" t="str">
        <f t="shared" si="87"/>
        <v>COUT MATERIEL ATELIER</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1147</v>
      </c>
      <c r="B816" s="706">
        <v>2025</v>
      </c>
      <c r="C816" s="706" t="s">
        <v>2879</v>
      </c>
      <c r="D816" s="706" t="s">
        <v>2880</v>
      </c>
      <c r="E816" s="706" t="s">
        <v>333</v>
      </c>
      <c r="F816" s="706" t="s">
        <v>1151</v>
      </c>
      <c r="G816" s="706">
        <v>0</v>
      </c>
      <c r="H816" s="706">
        <v>0</v>
      </c>
      <c r="I816" s="706">
        <v>0</v>
      </c>
      <c r="J816" s="706">
        <v>0</v>
      </c>
      <c r="K816" s="706">
        <v>0</v>
      </c>
      <c r="L816" s="706">
        <v>0</v>
      </c>
      <c r="M816" s="706">
        <v>0</v>
      </c>
      <c r="N816" s="706">
        <v>0</v>
      </c>
      <c r="O816" s="706">
        <v>0</v>
      </c>
      <c r="P816" s="706">
        <v>0</v>
      </c>
      <c r="Q816" s="706">
        <v>0</v>
      </c>
      <c r="R816" s="706">
        <v>0</v>
      </c>
      <c r="S816" s="706">
        <v>0</v>
      </c>
      <c r="T816" s="706">
        <v>0</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G67000</v>
      </c>
      <c r="AK816" s="905" t="str">
        <f t="shared" si="84"/>
        <v>COUT-M.D. PEINTURE</v>
      </c>
      <c r="AL816" s="905">
        <f>IFERROR(INDEX(G816:R816,1,MATCH(Parametres!$B$3,G$1:R$1,0)-1)*IF(OR(F816="L",F816="S",F816="I"),-1,1),"")</f>
        <v>0</v>
      </c>
      <c r="AM816" s="905">
        <f t="shared" si="85"/>
        <v>0</v>
      </c>
      <c r="AN816" s="905">
        <f>INDEX(G816:R816,1,MATCH(Parametres!$B$3,G$1:R$1,0))*IF(OR(F816="L",F816="S",F816="I"),-1,1)</f>
        <v>0</v>
      </c>
      <c r="AO816" s="487" t="str">
        <f>+VLOOKUP($AJ816,Data_Validation!$A:$D,1,0)</f>
        <v>G67000</v>
      </c>
      <c r="AP816" s="487" t="str">
        <f>+VLOOKUP($AJ816,Data_Validation!$A:$D,3,0)</f>
        <v>Carrosserie</v>
      </c>
      <c r="AQ816" s="487" t="str">
        <f>+VLOOKUP($AJ816,Data_Validation!$A:$D,4,0)</f>
        <v>Carrosserie Clients</v>
      </c>
      <c r="AR816" s="487" t="s">
        <v>299</v>
      </c>
      <c r="AS816" s="487">
        <f>+VLOOKUP($AJ816,Data_Validation!$A:$E,5,0)</f>
        <v>0</v>
      </c>
      <c r="AT816" s="904" t="str">
        <f t="shared" si="86"/>
        <v>G67000</v>
      </c>
      <c r="AU816" s="488" t="str">
        <f t="shared" si="87"/>
        <v>COUT-M.D. PEINTURE</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hidden="1" customHeight="1">
      <c r="A817" s="706" t="s">
        <v>1147</v>
      </c>
      <c r="B817" s="706">
        <v>2025</v>
      </c>
      <c r="C817" s="706" t="s">
        <v>2883</v>
      </c>
      <c r="D817" s="706" t="s">
        <v>2884</v>
      </c>
      <c r="E817" s="706" t="s">
        <v>333</v>
      </c>
      <c r="F817" s="706" t="s">
        <v>1151</v>
      </c>
      <c r="G817" s="706">
        <v>18625.38</v>
      </c>
      <c r="H817" s="706">
        <v>40061.17</v>
      </c>
      <c r="I817" s="706">
        <v>58108.32</v>
      </c>
      <c r="J817" s="706">
        <v>75937.98</v>
      </c>
      <c r="K817" s="706">
        <v>95083.67</v>
      </c>
      <c r="L817" s="706">
        <v>107403.3</v>
      </c>
      <c r="M817" s="706">
        <v>130349.11</v>
      </c>
      <c r="N817" s="706">
        <v>149411.48000000001</v>
      </c>
      <c r="O817" s="706">
        <v>170278.1</v>
      </c>
      <c r="P817" s="706">
        <v>190005.1</v>
      </c>
      <c r="Q817" s="706">
        <v>209144.07</v>
      </c>
      <c r="R817" s="706">
        <v>227806.02</v>
      </c>
      <c r="S817" s="706">
        <v>19013.099999999999</v>
      </c>
      <c r="T817" s="706">
        <v>19013.099999999999</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G67100</v>
      </c>
      <c r="AK817" s="905" t="str">
        <f t="shared" si="84"/>
        <v>COUT-M.D. CARROSSERIE</v>
      </c>
      <c r="AL817" s="905">
        <f>IFERROR(INDEX(G817:R817,1,MATCH(Parametres!$B$3,G$1:R$1,0)-1)*IF(OR(F817="L",F817="S",F817="I"),-1,1),"")</f>
        <v>209144.07</v>
      </c>
      <c r="AM817" s="905">
        <f t="shared" si="85"/>
        <v>18661.949999999983</v>
      </c>
      <c r="AN817" s="905">
        <f>INDEX(G817:R817,1,MATCH(Parametres!$B$3,G$1:R$1,0))*IF(OR(F817="L",F817="S",F817="I"),-1,1)</f>
        <v>227806.02</v>
      </c>
      <c r="AO817" s="487" t="str">
        <f>+VLOOKUP($AJ817,Data_Validation!$A:$D,1,0)</f>
        <v>G67100</v>
      </c>
      <c r="AP817" s="487" t="str">
        <f>+VLOOKUP($AJ817,Data_Validation!$A:$D,3,0)</f>
        <v>Carrosserie</v>
      </c>
      <c r="AQ817" s="487" t="str">
        <f>+VLOOKUP($AJ817,Data_Validation!$A:$D,4,0)</f>
        <v>Carrosserie Clients</v>
      </c>
      <c r="AR817" s="487" t="s">
        <v>299</v>
      </c>
      <c r="AS817" s="487">
        <f>+VLOOKUP($AJ817,Data_Validation!$A:$E,5,0)</f>
        <v>0</v>
      </c>
      <c r="AT817" s="904" t="str">
        <f t="shared" si="86"/>
        <v>G67100</v>
      </c>
      <c r="AU817" s="488" t="str">
        <f t="shared" si="87"/>
        <v>COUT-M.D. CARROSSERIE</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hidden="1" customHeight="1">
      <c r="A818" s="706" t="s">
        <v>1147</v>
      </c>
      <c r="B818" s="706">
        <v>2025</v>
      </c>
      <c r="C818" s="706" t="s">
        <v>2893</v>
      </c>
      <c r="D818" s="706" t="s">
        <v>2894</v>
      </c>
      <c r="E818" s="706" t="s">
        <v>333</v>
      </c>
      <c r="F818" s="706" t="s">
        <v>1151</v>
      </c>
      <c r="G818" s="706">
        <v>0</v>
      </c>
      <c r="H818" s="706">
        <v>0</v>
      </c>
      <c r="I818" s="706">
        <v>0</v>
      </c>
      <c r="J818" s="706">
        <v>82.84</v>
      </c>
      <c r="K818" s="706">
        <v>82.84</v>
      </c>
      <c r="L818" s="706">
        <v>254.51</v>
      </c>
      <c r="M818" s="706">
        <v>254.51</v>
      </c>
      <c r="N818" s="706">
        <v>254.51</v>
      </c>
      <c r="O818" s="706">
        <v>254.51</v>
      </c>
      <c r="P818" s="706">
        <v>254.51</v>
      </c>
      <c r="Q818" s="706">
        <v>254.51</v>
      </c>
      <c r="R818" s="706">
        <v>627.15</v>
      </c>
      <c r="S818" s="706">
        <v>23.14</v>
      </c>
      <c r="T818" s="706">
        <v>23.14</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G67200</v>
      </c>
      <c r="AK818" s="905" t="str">
        <f t="shared" si="84"/>
        <v>COUT-M.D. B.CLAIM</v>
      </c>
      <c r="AL818" s="905">
        <f>IFERROR(INDEX(G818:R818,1,MATCH(Parametres!$B$3,G$1:R$1,0)-1)*IF(OR(F818="L",F818="S",F818="I"),-1,1),"")</f>
        <v>254.51</v>
      </c>
      <c r="AM818" s="905">
        <f t="shared" si="85"/>
        <v>372.64</v>
      </c>
      <c r="AN818" s="905">
        <f>INDEX(G818:R818,1,MATCH(Parametres!$B$3,G$1:R$1,0))*IF(OR(F818="L",F818="S",F818="I"),-1,1)</f>
        <v>627.15</v>
      </c>
      <c r="AO818" s="487" t="str">
        <f>+VLOOKUP($AJ818,Data_Validation!$A:$D,1,0)</f>
        <v>G67200</v>
      </c>
      <c r="AP818" s="487" t="str">
        <f>+VLOOKUP($AJ818,Data_Validation!$A:$D,3,0)</f>
        <v>Carrosserie</v>
      </c>
      <c r="AQ818" s="487" t="str">
        <f>+VLOOKUP($AJ818,Data_Validation!$A:$D,4,0)</f>
        <v>Carrosserie Interne</v>
      </c>
      <c r="AR818" s="487" t="s">
        <v>299</v>
      </c>
      <c r="AS818" s="487">
        <f>+VLOOKUP($AJ818,Data_Validation!$A:$E,5,0)</f>
        <v>0</v>
      </c>
      <c r="AT818" s="904" t="str">
        <f t="shared" si="86"/>
        <v>G67200</v>
      </c>
      <c r="AU818" s="488" t="str">
        <f t="shared" si="87"/>
        <v>COUT-M.D. B.CLAIM</v>
      </c>
      <c r="AV818" s="899">
        <f>IFERROR(INDEX(V818:AG818,1,MATCH(Parametres!$B$3,V$1:AG$1,0)-1)*IF(OR(C818="L",C818="S",C818="I"),-1,1),"")</f>
        <v>0</v>
      </c>
      <c r="AW818" s="899">
        <f t="shared" si="88"/>
        <v>0</v>
      </c>
      <c r="AX818" s="899">
        <f>INDEX(V818:AG818,1,MATCH(Parametres!$B$3,V$1:AG$1,0))*IF(OR(C818="L",C818="S",C818="I"),-1,1)</f>
        <v>0</v>
      </c>
      <c r="AY818" s="487" t="s">
        <v>337</v>
      </c>
      <c r="AZ818" s="487">
        <f>+VLOOKUP($AJ818,Data_Validation!$A:$E,5,0)</f>
        <v>0</v>
      </c>
    </row>
    <row r="819" spans="1:52" ht="15" hidden="1" customHeight="1">
      <c r="A819" s="706" t="s">
        <v>1147</v>
      </c>
      <c r="B819" s="706">
        <v>2025</v>
      </c>
      <c r="C819" s="706" t="s">
        <v>2895</v>
      </c>
      <c r="D819" s="706" t="s">
        <v>2896</v>
      </c>
      <c r="E819" s="706" t="s">
        <v>333</v>
      </c>
      <c r="F819" s="706" t="s">
        <v>1151</v>
      </c>
      <c r="G819" s="706">
        <v>596.52</v>
      </c>
      <c r="H819" s="706">
        <v>1314.66</v>
      </c>
      <c r="I819" s="706">
        <v>1314.66</v>
      </c>
      <c r="J819" s="706">
        <v>3556.77</v>
      </c>
      <c r="K819" s="706">
        <v>6148.51</v>
      </c>
      <c r="L819" s="706">
        <v>9787.01</v>
      </c>
      <c r="M819" s="706">
        <v>12786.08</v>
      </c>
      <c r="N819" s="706">
        <v>4717.08</v>
      </c>
      <c r="O819" s="706">
        <v>9764.0300000000007</v>
      </c>
      <c r="P819" s="706">
        <v>12795.7</v>
      </c>
      <c r="Q819" s="706">
        <v>16029.54</v>
      </c>
      <c r="R819" s="706">
        <v>25256.39</v>
      </c>
      <c r="S819" s="706">
        <v>1457.23</v>
      </c>
      <c r="T819" s="706">
        <v>1457.23</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G67300</v>
      </c>
      <c r="AK819" s="905" t="str">
        <f t="shared" si="84"/>
        <v>COUT-M.D. BODY INT.</v>
      </c>
      <c r="AL819" s="905">
        <f>IFERROR(INDEX(G819:R819,1,MATCH(Parametres!$B$3,G$1:R$1,0)-1)*IF(OR(F819="L",F819="S",F819="I"),-1,1),"")</f>
        <v>16029.54</v>
      </c>
      <c r="AM819" s="905">
        <f t="shared" si="85"/>
        <v>9226.8499999999985</v>
      </c>
      <c r="AN819" s="905">
        <f>INDEX(G819:R819,1,MATCH(Parametres!$B$3,G$1:R$1,0))*IF(OR(F819="L",F819="S",F819="I"),-1,1)</f>
        <v>25256.39</v>
      </c>
      <c r="AO819" s="487" t="str">
        <f>+VLOOKUP($AJ819,Data_Validation!$A:$D,1,0)</f>
        <v>G67300</v>
      </c>
      <c r="AP819" s="487" t="str">
        <f>+VLOOKUP($AJ819,Data_Validation!$A:$D,3,0)</f>
        <v>Carrosserie</v>
      </c>
      <c r="AQ819" s="487" t="str">
        <f>+VLOOKUP($AJ819,Data_Validation!$A:$D,4,0)</f>
        <v>Carrosserie Interne</v>
      </c>
      <c r="AR819" s="487" t="s">
        <v>299</v>
      </c>
      <c r="AS819" s="487">
        <f>+VLOOKUP($AJ819,Data_Validation!$A:$E,5,0)</f>
        <v>0</v>
      </c>
      <c r="AT819" s="904" t="str">
        <f t="shared" si="86"/>
        <v>G67300</v>
      </c>
      <c r="AU819" s="488" t="str">
        <f t="shared" si="87"/>
        <v>COUT-M.D. BODY INT.</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1147</v>
      </c>
      <c r="B820" s="706">
        <v>2025</v>
      </c>
      <c r="C820" s="706" t="s">
        <v>2901</v>
      </c>
      <c r="D820" s="706" t="s">
        <v>2902</v>
      </c>
      <c r="E820" s="706" t="s">
        <v>333</v>
      </c>
      <c r="F820" s="706" t="s">
        <v>1151</v>
      </c>
      <c r="G820" s="706">
        <v>5214.75</v>
      </c>
      <c r="H820" s="706">
        <v>6123.36</v>
      </c>
      <c r="I820" s="706">
        <v>6335.54</v>
      </c>
      <c r="J820" s="706">
        <v>10030.280000000001</v>
      </c>
      <c r="K820" s="706">
        <v>2206.7800000000002</v>
      </c>
      <c r="L820" s="706">
        <v>2831.34</v>
      </c>
      <c r="M820" s="706">
        <v>-1205.8900000000001</v>
      </c>
      <c r="N820" s="706">
        <v>-5629.34</v>
      </c>
      <c r="O820" s="706">
        <v>-7326.93</v>
      </c>
      <c r="P820" s="706">
        <v>-13289.56</v>
      </c>
      <c r="Q820" s="706">
        <v>-9922.84</v>
      </c>
      <c r="R820" s="706">
        <v>-10741.94</v>
      </c>
      <c r="S820" s="706">
        <v>-902.08</v>
      </c>
      <c r="T820" s="706">
        <v>-902.08</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G67500</v>
      </c>
      <c r="AK820" s="905" t="str">
        <f t="shared" si="84"/>
        <v>TEMPS PERDU CARROSSERIE</v>
      </c>
      <c r="AL820" s="905">
        <f>IFERROR(INDEX(G820:R820,1,MATCH(Parametres!$B$3,G$1:R$1,0)-1)*IF(OR(F820="L",F820="S",F820="I"),-1,1),"")</f>
        <v>-9922.84</v>
      </c>
      <c r="AM820" s="905">
        <f t="shared" si="85"/>
        <v>-819.10000000000036</v>
      </c>
      <c r="AN820" s="905">
        <f>INDEX(G820:R820,1,MATCH(Parametres!$B$3,G$1:R$1,0))*IF(OR(F820="L",F820="S",F820="I"),-1,1)</f>
        <v>-10741.94</v>
      </c>
      <c r="AO820" s="487" t="str">
        <f>+VLOOKUP($AJ820,Data_Validation!$A:$D,1,0)</f>
        <v>G67500</v>
      </c>
      <c r="AP820" s="487" t="str">
        <f>+VLOOKUP($AJ820,Data_Validation!$A:$D,3,0)</f>
        <v>Carrosserie</v>
      </c>
      <c r="AQ820" s="487" t="str">
        <f>+VLOOKUP($AJ820,Data_Validation!$A:$D,4,0)</f>
        <v>Ajustement M/O Carrosserie</v>
      </c>
      <c r="AR820" s="487" t="s">
        <v>299</v>
      </c>
      <c r="AS820" s="487">
        <f>+VLOOKUP($AJ820,Data_Validation!$A:$E,5,0)</f>
        <v>0</v>
      </c>
      <c r="AT820" s="904" t="str">
        <f t="shared" si="86"/>
        <v>G67500</v>
      </c>
      <c r="AU820" s="488" t="str">
        <f t="shared" si="87"/>
        <v>TEMPS PERDU CARROSSERIE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1147</v>
      </c>
      <c r="B821" s="706">
        <v>2025</v>
      </c>
      <c r="C821" s="706" t="s">
        <v>2903</v>
      </c>
      <c r="D821" s="706" t="s">
        <v>2904</v>
      </c>
      <c r="E821" s="706" t="s">
        <v>333</v>
      </c>
      <c r="F821" s="706" t="s">
        <v>1151</v>
      </c>
      <c r="G821" s="706">
        <v>56167.51</v>
      </c>
      <c r="H821" s="706">
        <v>123121.35</v>
      </c>
      <c r="I821" s="706">
        <v>195329.35</v>
      </c>
      <c r="J821" s="706">
        <v>247715.33</v>
      </c>
      <c r="K821" s="706">
        <v>301773.95</v>
      </c>
      <c r="L821" s="706">
        <v>360973.23</v>
      </c>
      <c r="M821" s="706">
        <v>452758.34</v>
      </c>
      <c r="N821" s="706">
        <v>528620.9</v>
      </c>
      <c r="O821" s="706">
        <v>595502.79</v>
      </c>
      <c r="P821" s="706">
        <v>648439.56000000006</v>
      </c>
      <c r="Q821" s="706">
        <v>714401.97</v>
      </c>
      <c r="R821" s="706">
        <v>778639.31</v>
      </c>
      <c r="S821" s="706">
        <v>64945.63</v>
      </c>
      <c r="T821" s="706">
        <v>64945.63</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G67600</v>
      </c>
      <c r="AK821" s="905" t="str">
        <f t="shared" si="84"/>
        <v>COUT-REP.SOUS-TRAIT.BODY</v>
      </c>
      <c r="AL821" s="905">
        <f>IFERROR(INDEX(G821:R821,1,MATCH(Parametres!$B$3,G$1:R$1,0)-1)*IF(OR(F821="L",F821="S",F821="I"),-1,1),"")</f>
        <v>714401.97</v>
      </c>
      <c r="AM821" s="905">
        <f t="shared" si="85"/>
        <v>64237.340000000084</v>
      </c>
      <c r="AN821" s="905">
        <f>INDEX(G821:R821,1,MATCH(Parametres!$B$3,G$1:R$1,0))*IF(OR(F821="L",F821="S",F821="I"),-1,1)</f>
        <v>778639.31</v>
      </c>
      <c r="AO821" s="487" t="str">
        <f>+VLOOKUP($AJ821,Data_Validation!$A:$D,1,0)</f>
        <v>G67600</v>
      </c>
      <c r="AP821" s="487" t="str">
        <f>+VLOOKUP($AJ821,Data_Validation!$A:$D,3,0)</f>
        <v>Carrosserie</v>
      </c>
      <c r="AQ821" s="487" t="str">
        <f>+VLOOKUP($AJ821,Data_Validation!$A:$D,4,0)</f>
        <v>Carrosserie Clients</v>
      </c>
      <c r="AR821" s="487" t="s">
        <v>299</v>
      </c>
      <c r="AS821" s="487">
        <f>+VLOOKUP($AJ821,Data_Validation!$A:$E,5,0)</f>
        <v>0</v>
      </c>
      <c r="AT821" s="904" t="str">
        <f t="shared" si="86"/>
        <v>G67600</v>
      </c>
      <c r="AU821" s="488" t="str">
        <f t="shared" si="87"/>
        <v>COUT-REP.SOUS-TRAIT.BODY</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1147</v>
      </c>
      <c r="B822" s="706">
        <v>2025</v>
      </c>
      <c r="C822" s="706" t="s">
        <v>2921</v>
      </c>
      <c r="D822" s="706" t="s">
        <v>2922</v>
      </c>
      <c r="E822" s="706" t="s">
        <v>333</v>
      </c>
      <c r="F822" s="706" t="s">
        <v>1151</v>
      </c>
      <c r="G822" s="706">
        <v>0</v>
      </c>
      <c r="H822" s="706">
        <v>0</v>
      </c>
      <c r="I822" s="706">
        <v>0</v>
      </c>
      <c r="J822" s="706">
        <v>0</v>
      </c>
      <c r="K822" s="706">
        <v>11.84</v>
      </c>
      <c r="L822" s="706">
        <v>11.84</v>
      </c>
      <c r="M822" s="706">
        <v>11.84</v>
      </c>
      <c r="N822" s="706">
        <v>11.84</v>
      </c>
      <c r="O822" s="706">
        <v>11.84</v>
      </c>
      <c r="P822" s="706">
        <v>553.35</v>
      </c>
      <c r="Q822" s="706">
        <v>553.35</v>
      </c>
      <c r="R822" s="706">
        <v>553.35</v>
      </c>
      <c r="S822" s="706">
        <v>50.3</v>
      </c>
      <c r="T822" s="706">
        <v>50.3</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G67700</v>
      </c>
      <c r="AK822" s="905" t="str">
        <f t="shared" si="84"/>
        <v>COUT P&amp;A CLIENT CARROSSER</v>
      </c>
      <c r="AL822" s="905">
        <f>IFERROR(INDEX(G822:R822,1,MATCH(Parametres!$B$3,G$1:R$1,0)-1)*IF(OR(F822="L",F822="S",F822="I"),-1,1),"")</f>
        <v>553.35</v>
      </c>
      <c r="AM822" s="905">
        <f t="shared" si="85"/>
        <v>0</v>
      </c>
      <c r="AN822" s="905">
        <f>INDEX(G822:R822,1,MATCH(Parametres!$B$3,G$1:R$1,0))*IF(OR(F822="L",F822="S",F822="I"),-1,1)</f>
        <v>553.35</v>
      </c>
      <c r="AO822" s="487" t="str">
        <f>+VLOOKUP($AJ822,Data_Validation!$A:$D,1,0)</f>
        <v>G67700</v>
      </c>
      <c r="AP822" s="487" t="str">
        <f>+VLOOKUP($AJ822,Data_Validation!$A:$D,3,0)</f>
        <v>Pièces</v>
      </c>
      <c r="AQ822" s="487" t="str">
        <f>+VLOOKUP($AJ822,Data_Validation!$A:$D,4,0)</f>
        <v>Pièces Ro Carrosserie</v>
      </c>
      <c r="AR822" s="487" t="s">
        <v>299</v>
      </c>
      <c r="AS822" s="487">
        <f>+VLOOKUP($AJ822,Data_Validation!$A:$E,5,0)</f>
        <v>0</v>
      </c>
      <c r="AT822" s="904" t="str">
        <f t="shared" si="86"/>
        <v>G67700</v>
      </c>
      <c r="AU822" s="488" t="str">
        <f t="shared" si="87"/>
        <v>COUT P&amp;A CLIENT CARROSSER</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customHeight="1">
      <c r="A823" s="706" t="s">
        <v>1147</v>
      </c>
      <c r="B823" s="706">
        <v>2025</v>
      </c>
      <c r="C823" s="706" t="s">
        <v>2923</v>
      </c>
      <c r="D823" s="706" t="s">
        <v>2924</v>
      </c>
      <c r="E823" s="706" t="s">
        <v>333</v>
      </c>
      <c r="F823" s="706" t="s">
        <v>1151</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G67800</v>
      </c>
      <c r="AK823" s="905" t="str">
        <f t="shared" si="84"/>
        <v>COUT-PCE BODY CLIENT CAM</v>
      </c>
      <c r="AL823" s="905">
        <f>IFERROR(INDEX(G823:R823,1,MATCH(Parametres!$B$3,G$1:R$1,0)-1)*IF(OR(F823="L",F823="S",F823="I"),-1,1),"")</f>
        <v>0</v>
      </c>
      <c r="AM823" s="905">
        <f t="shared" si="85"/>
        <v>0</v>
      </c>
      <c r="AN823" s="905">
        <f>INDEX(G823:R823,1,MATCH(Parametres!$B$3,G$1:R$1,0))*IF(OR(F823="L",F823="S",F823="I"),-1,1)</f>
        <v>0</v>
      </c>
      <c r="AO823" s="487" t="str">
        <f>+VLOOKUP($AJ823,Data_Validation!$A:$D,1,0)</f>
        <v>G67800</v>
      </c>
      <c r="AP823" s="487">
        <f>+VLOOKUP($AJ823,Data_Validation!$A:$D,3,0)</f>
        <v>0</v>
      </c>
      <c r="AQ823" s="487">
        <f>+VLOOKUP($AJ823,Data_Validation!$A:$D,4,0)</f>
        <v>0</v>
      </c>
      <c r="AR823" s="487" t="s">
        <v>299</v>
      </c>
      <c r="AS823" s="487">
        <f>+VLOOKUP($AJ823,Data_Validation!$A:$E,5,0)</f>
        <v>0</v>
      </c>
      <c r="AT823" s="904" t="str">
        <f t="shared" si="86"/>
        <v>G67800</v>
      </c>
      <c r="AU823" s="488" t="str">
        <f t="shared" si="87"/>
        <v>COUT-PCE BODY CLIENT CAM</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customHeight="1">
      <c r="A824" s="706" t="s">
        <v>1147</v>
      </c>
      <c r="B824" s="706">
        <v>2025</v>
      </c>
      <c r="C824" s="706" t="s">
        <v>2925</v>
      </c>
      <c r="D824" s="706" t="s">
        <v>2926</v>
      </c>
      <c r="E824" s="706" t="s">
        <v>333</v>
      </c>
      <c r="F824" s="706" t="s">
        <v>1151</v>
      </c>
      <c r="G824" s="706">
        <v>0</v>
      </c>
      <c r="H824" s="706">
        <v>0</v>
      </c>
      <c r="I824" s="706">
        <v>0</v>
      </c>
      <c r="J824" s="706">
        <v>0</v>
      </c>
      <c r="K824" s="706">
        <v>0</v>
      </c>
      <c r="L824" s="706">
        <v>0</v>
      </c>
      <c r="M824" s="706">
        <v>0</v>
      </c>
      <c r="N824" s="706">
        <v>0</v>
      </c>
      <c r="O824" s="706">
        <v>0</v>
      </c>
      <c r="P824" s="706">
        <v>0</v>
      </c>
      <c r="Q824" s="706">
        <v>0</v>
      </c>
      <c r="R824" s="706">
        <v>0</v>
      </c>
      <c r="S824" s="706">
        <v>0</v>
      </c>
      <c r="T824" s="706">
        <v>0</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G67840</v>
      </c>
      <c r="AK824" s="905" t="str">
        <f t="shared" si="84"/>
        <v>COUT-P&amp;A GOODW CAM MOYEN</v>
      </c>
      <c r="AL824" s="905">
        <f>IFERROR(INDEX(G824:R824,1,MATCH(Parametres!$B$3,G$1:R$1,0)-1)*IF(OR(F824="L",F824="S",F824="I"),-1,1),"")</f>
        <v>0</v>
      </c>
      <c r="AM824" s="905">
        <f t="shared" si="8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t="str">
        <f t="shared" si="86"/>
        <v>G67840</v>
      </c>
      <c r="AU824" s="488" t="str">
        <f t="shared" si="87"/>
        <v>COUT-P&amp;A GOODW CAM MOYEN</v>
      </c>
      <c r="AV824" s="899">
        <f>IFERROR(INDEX(V824:AG824,1,MATCH(Parametres!$B$3,V$1:AG$1,0)-1)*IF(OR(C824="L",C824="S",C824="I"),-1,1),"")</f>
        <v>0</v>
      </c>
      <c r="AW824" s="899">
        <f t="shared" si="88"/>
        <v>0</v>
      </c>
      <c r="AX824" s="899">
        <f>INDEX(V824:AG824,1,MATCH(Parametres!$B$3,V$1:AG$1,0))*IF(OR(C824="L",C824="S",C824="I"),-1,1)</f>
        <v>0</v>
      </c>
      <c r="AY824" s="487" t="s">
        <v>337</v>
      </c>
      <c r="AZ824" s="487" t="e">
        <f>+VLOOKUP($AJ824,Data_Validation!$A:$E,5,0)</f>
        <v>#N/A</v>
      </c>
    </row>
    <row r="825" spans="1:52" ht="15" hidden="1" customHeight="1">
      <c r="A825" s="706" t="s">
        <v>1147</v>
      </c>
      <c r="B825" s="706">
        <v>2025</v>
      </c>
      <c r="C825" s="706" t="s">
        <v>2927</v>
      </c>
      <c r="D825" s="706" t="s">
        <v>2928</v>
      </c>
      <c r="E825" s="706" t="s">
        <v>333</v>
      </c>
      <c r="F825" s="706" t="s">
        <v>1151</v>
      </c>
      <c r="G825" s="706">
        <v>4046.09</v>
      </c>
      <c r="H825" s="706">
        <v>9233.2999999999993</v>
      </c>
      <c r="I825" s="706">
        <v>15455.42</v>
      </c>
      <c r="J825" s="706">
        <v>19892.54</v>
      </c>
      <c r="K825" s="706">
        <v>26746.46</v>
      </c>
      <c r="L825" s="706">
        <v>33395.5</v>
      </c>
      <c r="M825" s="706">
        <v>38708.89</v>
      </c>
      <c r="N825" s="706">
        <v>45022.33</v>
      </c>
      <c r="O825" s="706">
        <v>51057.74</v>
      </c>
      <c r="P825" s="706">
        <v>56199.42</v>
      </c>
      <c r="Q825" s="706">
        <v>69852.990000000005</v>
      </c>
      <c r="R825" s="706">
        <v>113918.67</v>
      </c>
      <c r="S825" s="706">
        <v>6350.27</v>
      </c>
      <c r="T825" s="706">
        <v>6350.27</v>
      </c>
      <c r="U825" s="706">
        <v>34955</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G67900</v>
      </c>
      <c r="AK825" s="905" t="str">
        <f t="shared" si="84"/>
        <v>COUT-PEINTURE CARROSSERIE</v>
      </c>
      <c r="AL825" s="905">
        <f>IFERROR(INDEX(G825:R825,1,MATCH(Parametres!$B$3,G$1:R$1,0)-1)*IF(OR(F825="L",F825="S",F825="I"),-1,1),"")</f>
        <v>69852.990000000005</v>
      </c>
      <c r="AM825" s="905">
        <f t="shared" si="85"/>
        <v>44065.679999999993</v>
      </c>
      <c r="AN825" s="905">
        <f>INDEX(G825:R825,1,MATCH(Parametres!$B$3,G$1:R$1,0))*IF(OR(F825="L",F825="S",F825="I"),-1,1)</f>
        <v>113918.67</v>
      </c>
      <c r="AO825" s="487" t="str">
        <f>+VLOOKUP($AJ825,Data_Validation!$A:$D,1,0)</f>
        <v>G67900</v>
      </c>
      <c r="AP825" s="487" t="str">
        <f>+VLOOKUP($AJ825,Data_Validation!$A:$D,3,0)</f>
        <v>Carrosserie</v>
      </c>
      <c r="AQ825" s="487" t="str">
        <f>+VLOOKUP($AJ825,Data_Validation!$A:$D,4,0)</f>
        <v>Carrosserie Clients</v>
      </c>
      <c r="AR825" s="487" t="s">
        <v>299</v>
      </c>
      <c r="AS825" s="487">
        <f>+VLOOKUP($AJ825,Data_Validation!$A:$E,5,0)</f>
        <v>0</v>
      </c>
      <c r="AT825" s="904" t="str">
        <f t="shared" si="86"/>
        <v>G67900</v>
      </c>
      <c r="AU825" s="488" t="str">
        <f t="shared" si="87"/>
        <v>COUT-PEINTURE CARROSSERIE</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1147</v>
      </c>
      <c r="B826" s="706">
        <v>2025</v>
      </c>
      <c r="C826" s="706" t="s">
        <v>2939</v>
      </c>
      <c r="D826" s="706" t="s">
        <v>2940</v>
      </c>
      <c r="E826" s="706" t="s">
        <v>333</v>
      </c>
      <c r="F826" s="706" t="s">
        <v>1151</v>
      </c>
      <c r="G826" s="706">
        <v>30007.07</v>
      </c>
      <c r="H826" s="706">
        <v>62565.15</v>
      </c>
      <c r="I826" s="706">
        <v>122721.07</v>
      </c>
      <c r="J826" s="706">
        <v>145643.43</v>
      </c>
      <c r="K826" s="706">
        <v>193885.36</v>
      </c>
      <c r="L826" s="706">
        <v>240591.02</v>
      </c>
      <c r="M826" s="706">
        <v>263525.78999999998</v>
      </c>
      <c r="N826" s="706">
        <v>308234.84000000003</v>
      </c>
      <c r="O826" s="706">
        <v>363639.59</v>
      </c>
      <c r="P826" s="706">
        <v>397598.97</v>
      </c>
      <c r="Q826" s="706">
        <v>416461.67</v>
      </c>
      <c r="R826" s="706">
        <v>439798.1</v>
      </c>
      <c r="S826" s="706">
        <v>37860.15</v>
      </c>
      <c r="T826" s="706">
        <v>37860.15</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G68000</v>
      </c>
      <c r="AK826" s="905" t="str">
        <f t="shared" si="84"/>
        <v>COUT-PIECE GARANTIE</v>
      </c>
      <c r="AL826" s="905">
        <f>IFERROR(INDEX(G826:R826,1,MATCH(Parametres!$B$3,G$1:R$1,0)-1)*IF(OR(F826="L",F826="S",F826="I"),-1,1),"")</f>
        <v>416461.67</v>
      </c>
      <c r="AM826" s="905">
        <f t="shared" si="85"/>
        <v>23336.429999999993</v>
      </c>
      <c r="AN826" s="905">
        <f>INDEX(G826:R826,1,MATCH(Parametres!$B$3,G$1:R$1,0))*IF(OR(F826="L",F826="S",F826="I"),-1,1)</f>
        <v>439798.1</v>
      </c>
      <c r="AO826" s="487" t="str">
        <f>+VLOOKUP($AJ826,Data_Validation!$A:$D,1,0)</f>
        <v>G68000</v>
      </c>
      <c r="AP826" s="487" t="str">
        <f>+VLOOKUP($AJ826,Data_Validation!$A:$D,3,0)</f>
        <v>Pièces</v>
      </c>
      <c r="AQ826" s="487" t="str">
        <f>+VLOOKUP($AJ826,Data_Validation!$A:$D,4,0)</f>
        <v>P/A Garantie</v>
      </c>
      <c r="AR826" s="487" t="s">
        <v>299</v>
      </c>
      <c r="AS826" s="487">
        <f>+VLOOKUP($AJ826,Data_Validation!$A:$E,5,0)</f>
        <v>0</v>
      </c>
      <c r="AT826" s="904" t="str">
        <f t="shared" si="86"/>
        <v>G68000</v>
      </c>
      <c r="AU826" s="488" t="str">
        <f t="shared" si="87"/>
        <v>COUT-PIECE GARANTIE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1147</v>
      </c>
      <c r="B827" s="706">
        <v>2025</v>
      </c>
      <c r="C827" s="706" t="s">
        <v>2941</v>
      </c>
      <c r="D827" s="706" t="s">
        <v>2942</v>
      </c>
      <c r="E827" s="706" t="s">
        <v>333</v>
      </c>
      <c r="F827" s="706" t="s">
        <v>1151</v>
      </c>
      <c r="G827" s="706">
        <v>0</v>
      </c>
      <c r="H827" s="706">
        <v>0</v>
      </c>
      <c r="I827" s="706">
        <v>0</v>
      </c>
      <c r="J827" s="706">
        <v>0</v>
      </c>
      <c r="K827" s="706">
        <v>0</v>
      </c>
      <c r="L827" s="706">
        <v>0</v>
      </c>
      <c r="M827" s="706">
        <v>0</v>
      </c>
      <c r="N827" s="706">
        <v>0</v>
      </c>
      <c r="O827" s="706">
        <v>0</v>
      </c>
      <c r="P827" s="706">
        <v>0</v>
      </c>
      <c r="Q827" s="706">
        <v>0</v>
      </c>
      <c r="R827" s="706">
        <v>0</v>
      </c>
      <c r="S827" s="706">
        <v>0</v>
      </c>
      <c r="T827" s="706">
        <v>0</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G68020</v>
      </c>
      <c r="AK827" s="905" t="str">
        <f t="shared" si="84"/>
        <v>COUT-P&amp;A RECLAM.CAM MOYEN</v>
      </c>
      <c r="AL827" s="905">
        <f>IFERROR(INDEX(G827:R827,1,MATCH(Parametres!$B$3,G$1:R$1,0)-1)*IF(OR(F827="L",F827="S",F827="I"),-1,1),"")</f>
        <v>0</v>
      </c>
      <c r="AM827" s="905">
        <f t="shared" si="85"/>
        <v>0</v>
      </c>
      <c r="AN827" s="905">
        <f>INDEX(G827:R827,1,MATCH(Parametres!$B$3,G$1:R$1,0))*IF(OR(F827="L",F827="S",F827="I"),-1,1)</f>
        <v>0</v>
      </c>
      <c r="AO827" s="487" t="str">
        <f>+VLOOKUP($AJ827,Data_Validation!$A:$D,1,0)</f>
        <v>G68020</v>
      </c>
      <c r="AP827" s="487" t="str">
        <f>+VLOOKUP($AJ827,Data_Validation!$A:$D,3,0)</f>
        <v>Pièces</v>
      </c>
      <c r="AQ827" s="487" t="str">
        <f>+VLOOKUP($AJ827,Data_Validation!$A:$D,4,0)</f>
        <v>P/A Garantie</v>
      </c>
      <c r="AR827" s="487" t="s">
        <v>299</v>
      </c>
      <c r="AS827" s="487">
        <f>+VLOOKUP($AJ827,Data_Validation!$A:$E,5,0)</f>
        <v>0</v>
      </c>
      <c r="AT827" s="904" t="str">
        <f t="shared" si="86"/>
        <v>G68020</v>
      </c>
      <c r="AU827" s="488" t="str">
        <f t="shared" si="87"/>
        <v>COUT-P&amp;A RECLAM.CAM MOYEN</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1147</v>
      </c>
      <c r="B828" s="706">
        <v>2025</v>
      </c>
      <c r="C828" s="706" t="s">
        <v>2943</v>
      </c>
      <c r="D828" s="706" t="s">
        <v>2944</v>
      </c>
      <c r="E828" s="706" t="s">
        <v>333</v>
      </c>
      <c r="F828" s="706" t="s">
        <v>1151</v>
      </c>
      <c r="G828" s="706">
        <v>85696.17</v>
      </c>
      <c r="H828" s="706">
        <v>132071.09</v>
      </c>
      <c r="I828" s="706">
        <v>169149.15</v>
      </c>
      <c r="J828" s="706">
        <v>207938.83</v>
      </c>
      <c r="K828" s="706">
        <v>259750.99</v>
      </c>
      <c r="L828" s="706">
        <v>289396.02</v>
      </c>
      <c r="M828" s="706">
        <v>333434.98</v>
      </c>
      <c r="N828" s="706">
        <v>359862.83</v>
      </c>
      <c r="O828" s="706">
        <v>393397.43</v>
      </c>
      <c r="P828" s="706">
        <v>427763.53</v>
      </c>
      <c r="Q828" s="706">
        <v>459263.88</v>
      </c>
      <c r="R828" s="706">
        <v>488607.44</v>
      </c>
      <c r="S828" s="706">
        <v>41751.26</v>
      </c>
      <c r="T828" s="706">
        <v>41751.26</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G68100</v>
      </c>
      <c r="AK828" s="905" t="str">
        <f t="shared" si="84"/>
        <v>COUT-PIECES INTERNE</v>
      </c>
      <c r="AL828" s="905">
        <f>IFERROR(INDEX(G828:R828,1,MATCH(Parametres!$B$3,G$1:R$1,0)-1)*IF(OR(F828="L",F828="S",F828="I"),-1,1),"")</f>
        <v>459263.88</v>
      </c>
      <c r="AM828" s="905">
        <f t="shared" si="85"/>
        <v>29343.559999999998</v>
      </c>
      <c r="AN828" s="905">
        <f>INDEX(G828:R828,1,MATCH(Parametres!$B$3,G$1:R$1,0))*IF(OR(F828="L",F828="S",F828="I"),-1,1)</f>
        <v>488607.44</v>
      </c>
      <c r="AO828" s="487" t="str">
        <f>+VLOOKUP($AJ828,Data_Validation!$A:$D,1,0)</f>
        <v>G68100</v>
      </c>
      <c r="AP828" s="487" t="str">
        <f>+VLOOKUP($AJ828,Data_Validation!$A:$D,3,0)</f>
        <v>Pièces</v>
      </c>
      <c r="AQ828" s="487" t="str">
        <f>+VLOOKUP($AJ828,Data_Validation!$A:$D,4,0)</f>
        <v>Ventes Internes</v>
      </c>
      <c r="AR828" s="487" t="s">
        <v>299</v>
      </c>
      <c r="AS828" s="487">
        <f>+VLOOKUP($AJ828,Data_Validation!$A:$E,5,0)</f>
        <v>0</v>
      </c>
      <c r="AT828" s="904" t="str">
        <f t="shared" si="86"/>
        <v>G68100</v>
      </c>
      <c r="AU828" s="488" t="str">
        <f t="shared" si="87"/>
        <v>COUT-PIECES INTERNE</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1147</v>
      </c>
      <c r="B829" s="706">
        <v>2025</v>
      </c>
      <c r="C829" s="706" t="s">
        <v>2945</v>
      </c>
      <c r="D829" s="706" t="s">
        <v>2946</v>
      </c>
      <c r="E829" s="706" t="s">
        <v>333</v>
      </c>
      <c r="F829" s="706" t="s">
        <v>1151</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G68120</v>
      </c>
      <c r="AK829" s="905" t="str">
        <f t="shared" si="84"/>
        <v>COUT-P&amp;A INTERN CAM MOYEN</v>
      </c>
      <c r="AL829" s="905">
        <f>IFERROR(INDEX(G829:R829,1,MATCH(Parametres!$B$3,G$1:R$1,0)-1)*IF(OR(F829="L",F829="S",F829="I"),-1,1),"")</f>
        <v>0</v>
      </c>
      <c r="AM829" s="905">
        <f t="shared" si="85"/>
        <v>0</v>
      </c>
      <c r="AN829" s="905">
        <f>INDEX(G829:R829,1,MATCH(Parametres!$B$3,G$1:R$1,0))*IF(OR(F829="L",F829="S",F829="I"),-1,1)</f>
        <v>0</v>
      </c>
      <c r="AO829" s="487" t="str">
        <f>+VLOOKUP($AJ829,Data_Validation!$A:$D,1,0)</f>
        <v>G68120</v>
      </c>
      <c r="AP829" s="487" t="str">
        <f>+VLOOKUP($AJ829,Data_Validation!$A:$D,3,0)</f>
        <v>Pièces</v>
      </c>
      <c r="AQ829" s="487" t="str">
        <f>+VLOOKUP($AJ829,Data_Validation!$A:$D,4,0)</f>
        <v>Ventes Internes</v>
      </c>
      <c r="AR829" s="487" t="s">
        <v>299</v>
      </c>
      <c r="AS829" s="487">
        <f>+VLOOKUP($AJ829,Data_Validation!$A:$E,5,0)</f>
        <v>0</v>
      </c>
      <c r="AT829" s="904" t="str">
        <f t="shared" si="86"/>
        <v>G68120</v>
      </c>
      <c r="AU829" s="488" t="str">
        <f t="shared" si="87"/>
        <v>COUT-P&amp;A INTERN CAM MOYEN</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hidden="1" customHeight="1">
      <c r="A830" s="706" t="s">
        <v>1147</v>
      </c>
      <c r="B830" s="706">
        <v>2025</v>
      </c>
      <c r="C830" s="706" t="s">
        <v>2947</v>
      </c>
      <c r="D830" s="706" t="s">
        <v>2948</v>
      </c>
      <c r="E830" s="706" t="s">
        <v>333</v>
      </c>
      <c r="F830" s="706" t="s">
        <v>1151</v>
      </c>
      <c r="G830" s="706">
        <v>31930.05</v>
      </c>
      <c r="H830" s="706">
        <v>50062.53</v>
      </c>
      <c r="I830" s="706">
        <v>76401.95</v>
      </c>
      <c r="J830" s="706">
        <v>92860.85</v>
      </c>
      <c r="K830" s="706">
        <v>121104.63</v>
      </c>
      <c r="L830" s="706">
        <v>146530.20000000001</v>
      </c>
      <c r="M830" s="706">
        <v>164680.57</v>
      </c>
      <c r="N830" s="706">
        <v>194035.92</v>
      </c>
      <c r="O830" s="706">
        <v>215163.27</v>
      </c>
      <c r="P830" s="706">
        <v>235574.63</v>
      </c>
      <c r="Q830" s="706">
        <v>265114.03999999998</v>
      </c>
      <c r="R830" s="706">
        <v>282602.95</v>
      </c>
      <c r="S830" s="706">
        <v>24101.279999999999</v>
      </c>
      <c r="T830" s="706">
        <v>24101.279999999999</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G68200</v>
      </c>
      <c r="AK830" s="905" t="str">
        <f t="shared" si="84"/>
        <v>COUT-PIECES AU DETAIL</v>
      </c>
      <c r="AL830" s="905">
        <f>IFERROR(INDEX(G830:R830,1,MATCH(Parametres!$B$3,G$1:R$1,0)-1)*IF(OR(F830="L",F830="S",F830="I"),-1,1),"")</f>
        <v>265114.03999999998</v>
      </c>
      <c r="AM830" s="905">
        <f t="shared" si="85"/>
        <v>17488.910000000033</v>
      </c>
      <c r="AN830" s="905">
        <f>INDEX(G830:R830,1,MATCH(Parametres!$B$3,G$1:R$1,0))*IF(OR(F830="L",F830="S",F830="I"),-1,1)</f>
        <v>282602.95</v>
      </c>
      <c r="AO830" s="487" t="str">
        <f>+VLOOKUP($AJ830,Data_Validation!$A:$D,1,0)</f>
        <v>G68200</v>
      </c>
      <c r="AP830" s="487" t="str">
        <f>+VLOOKUP($AJ830,Data_Validation!$A:$D,3,0)</f>
        <v>Pièces</v>
      </c>
      <c r="AQ830" s="487" t="str">
        <f>+VLOOKUP($AJ830,Data_Validation!$A:$D,4,0)</f>
        <v>Ventes Détails</v>
      </c>
      <c r="AR830" s="487" t="s">
        <v>299</v>
      </c>
      <c r="AS830" s="487">
        <f>+VLOOKUP($AJ830,Data_Validation!$A:$E,5,0)</f>
        <v>0</v>
      </c>
      <c r="AT830" s="904" t="str">
        <f t="shared" si="86"/>
        <v>G68200</v>
      </c>
      <c r="AU830" s="488" t="str">
        <f t="shared" si="87"/>
        <v>COUT-PIECES AU DETAIL</v>
      </c>
      <c r="AV830" s="899">
        <f>IFERROR(INDEX(V830:AG830,1,MATCH(Parametres!$B$3,V$1:AG$1,0)-1)*IF(OR(C830="L",C830="S",C830="I"),-1,1),"")</f>
        <v>0</v>
      </c>
      <c r="AW830" s="899">
        <f t="shared" si="88"/>
        <v>0</v>
      </c>
      <c r="AX830" s="899">
        <f>INDEX(V830:AG830,1,MATCH(Parametres!$B$3,V$1:AG$1,0))*IF(OR(C830="L",C830="S",C830="I"),-1,1)</f>
        <v>0</v>
      </c>
      <c r="AY830" s="487" t="s">
        <v>337</v>
      </c>
      <c r="AZ830" s="487">
        <f>+VLOOKUP($AJ830,Data_Validation!$A:$E,5,0)</f>
        <v>0</v>
      </c>
    </row>
    <row r="831" spans="1:52" ht="15" hidden="1" customHeight="1">
      <c r="A831" s="706" t="s">
        <v>1147</v>
      </c>
      <c r="B831" s="706">
        <v>2025</v>
      </c>
      <c r="C831" s="706" t="s">
        <v>2949</v>
      </c>
      <c r="D831" s="706" t="s">
        <v>2950</v>
      </c>
      <c r="E831" s="706" t="s">
        <v>333</v>
      </c>
      <c r="F831" s="706" t="s">
        <v>1151</v>
      </c>
      <c r="G831" s="706">
        <v>99565.47</v>
      </c>
      <c r="H831" s="706">
        <v>232741.94</v>
      </c>
      <c r="I831" s="706">
        <v>361273.17</v>
      </c>
      <c r="J831" s="706">
        <v>517536.09</v>
      </c>
      <c r="K831" s="706">
        <v>644822.94999999995</v>
      </c>
      <c r="L831" s="706">
        <v>758569.82</v>
      </c>
      <c r="M831" s="706">
        <v>851383.4</v>
      </c>
      <c r="N831" s="706">
        <v>970163.52</v>
      </c>
      <c r="O831" s="706">
        <v>1119693.3700000001</v>
      </c>
      <c r="P831" s="706">
        <v>1192575.26</v>
      </c>
      <c r="Q831" s="706">
        <v>1278291.8999999999</v>
      </c>
      <c r="R831" s="706">
        <v>1382002.55</v>
      </c>
      <c r="S831" s="706">
        <v>116208.35</v>
      </c>
      <c r="T831" s="706">
        <v>116208.35</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G68300</v>
      </c>
      <c r="AK831" s="905" t="str">
        <f t="shared" si="84"/>
        <v>COUT-PIECES EN GROS</v>
      </c>
      <c r="AL831" s="905">
        <f>IFERROR(INDEX(G831:R831,1,MATCH(Parametres!$B$3,G$1:R$1,0)-1)*IF(OR(F831="L",F831="S",F831="I"),-1,1),"")</f>
        <v>1278291.8999999999</v>
      </c>
      <c r="AM831" s="905">
        <f t="shared" si="85"/>
        <v>103710.65000000014</v>
      </c>
      <c r="AN831" s="905">
        <f>INDEX(G831:R831,1,MATCH(Parametres!$B$3,G$1:R$1,0))*IF(OR(F831="L",F831="S",F831="I"),-1,1)</f>
        <v>1382002.55</v>
      </c>
      <c r="AO831" s="487" t="str">
        <f>+VLOOKUP($AJ831,Data_Validation!$A:$D,1,0)</f>
        <v>G68300</v>
      </c>
      <c r="AP831" s="487" t="str">
        <f>+VLOOKUP($AJ831,Data_Validation!$A:$D,3,0)</f>
        <v>Pièces</v>
      </c>
      <c r="AQ831" s="487" t="str">
        <f>+VLOOKUP($AJ831,Data_Validation!$A:$D,4,0)</f>
        <v>Ventes de Gros</v>
      </c>
      <c r="AR831" s="487" t="s">
        <v>299</v>
      </c>
      <c r="AS831" s="487">
        <f>+VLOOKUP($AJ831,Data_Validation!$A:$E,5,0)</f>
        <v>0</v>
      </c>
      <c r="AT831" s="904" t="str">
        <f t="shared" si="86"/>
        <v>G68300</v>
      </c>
      <c r="AU831" s="488" t="str">
        <f t="shared" si="87"/>
        <v>COUT-PIECES EN GROS</v>
      </c>
      <c r="AV831" s="899">
        <f>IFERROR(INDEX(V831:AG831,1,MATCH(Parametres!$B$3,V$1:AG$1,0)-1)*IF(OR(C831="L",C831="S",C831="I"),-1,1),"")</f>
        <v>0</v>
      </c>
      <c r="AW831" s="899">
        <f t="shared" si="88"/>
        <v>0</v>
      </c>
      <c r="AX831" s="899">
        <f>INDEX(V831:AG831,1,MATCH(Parametres!$B$3,V$1:AG$1,0))*IF(OR(C831="L",C831="S",C831="I"),-1,1)</f>
        <v>0</v>
      </c>
      <c r="AY831" s="487" t="s">
        <v>337</v>
      </c>
      <c r="AZ831" s="487">
        <f>+VLOOKUP($AJ831,Data_Validation!$A:$E,5,0)</f>
        <v>0</v>
      </c>
    </row>
    <row r="832" spans="1:52" ht="15" hidden="1" customHeight="1">
      <c r="A832" s="706" t="s">
        <v>1147</v>
      </c>
      <c r="B832" s="706">
        <v>2025</v>
      </c>
      <c r="C832" s="706" t="s">
        <v>2951</v>
      </c>
      <c r="D832" s="706" t="s">
        <v>2952</v>
      </c>
      <c r="E832" s="706" t="s">
        <v>333</v>
      </c>
      <c r="F832" s="706" t="s">
        <v>1151</v>
      </c>
      <c r="G832" s="706">
        <v>-5848.93</v>
      </c>
      <c r="H832" s="706">
        <v>-9284.58</v>
      </c>
      <c r="I832" s="706">
        <v>-12174.06</v>
      </c>
      <c r="J832" s="706">
        <v>-28902.84</v>
      </c>
      <c r="K832" s="706">
        <v>-35948.54</v>
      </c>
      <c r="L832" s="706">
        <v>-44533.74</v>
      </c>
      <c r="M832" s="706">
        <v>-60359.64</v>
      </c>
      <c r="N832" s="706">
        <v>-60694.92</v>
      </c>
      <c r="O832" s="706">
        <v>-64362.8</v>
      </c>
      <c r="P832" s="706">
        <v>-84527.55</v>
      </c>
      <c r="Q832" s="706">
        <v>-85950.33</v>
      </c>
      <c r="R832" s="706">
        <v>-140165.95000000001</v>
      </c>
      <c r="S832" s="706">
        <v>-7813.67</v>
      </c>
      <c r="T832" s="706">
        <v>-7813.67</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G68700</v>
      </c>
      <c r="AK832" s="905" t="str">
        <f t="shared" si="84"/>
        <v>ESCOMPTES DE VOLUME</v>
      </c>
      <c r="AL832" s="905">
        <f>IFERROR(INDEX(G832:R832,1,MATCH(Parametres!$B$3,G$1:R$1,0)-1)*IF(OR(F832="L",F832="S",F832="I"),-1,1),"")</f>
        <v>-85950.33</v>
      </c>
      <c r="AM832" s="905">
        <f t="shared" si="85"/>
        <v>-54215.62000000001</v>
      </c>
      <c r="AN832" s="905">
        <f>INDEX(G832:R832,1,MATCH(Parametres!$B$3,G$1:R$1,0))*IF(OR(F832="L",F832="S",F832="I"),-1,1)</f>
        <v>-140165.95000000001</v>
      </c>
      <c r="AO832" s="487" t="str">
        <f>+VLOOKUP($AJ832,Data_Validation!$A:$D,1,0)</f>
        <v>G68700</v>
      </c>
      <c r="AP832" s="487" t="str">
        <f>+VLOOKUP($AJ832,Data_Validation!$A:$D,3,0)</f>
        <v>Pièces</v>
      </c>
      <c r="AQ832" s="487" t="str">
        <f>+VLOOKUP($AJ832,Data_Validation!$A:$D,4,0)</f>
        <v>Escomptes</v>
      </c>
      <c r="AR832" s="487" t="s">
        <v>299</v>
      </c>
      <c r="AS832" s="487">
        <f>+VLOOKUP($AJ832,Data_Validation!$A:$E,5,0)</f>
        <v>0</v>
      </c>
      <c r="AT832" s="904" t="str">
        <f t="shared" si="86"/>
        <v>G68700</v>
      </c>
      <c r="AU832" s="488" t="str">
        <f t="shared" si="87"/>
        <v>ESCOMPTES DE VOLUME</v>
      </c>
      <c r="AV832" s="899">
        <f>IFERROR(INDEX(V832:AG832,1,MATCH(Parametres!$B$3,V$1:AG$1,0)-1)*IF(OR(C832="L",C832="S",C832="I"),-1,1),"")</f>
        <v>0</v>
      </c>
      <c r="AW832" s="899">
        <f t="shared" si="88"/>
        <v>0</v>
      </c>
      <c r="AX832" s="899">
        <f>INDEX(V832:AG832,1,MATCH(Parametres!$B$3,V$1:AG$1,0))*IF(OR(C832="L",C832="S",C832="I"),-1,1)</f>
        <v>0</v>
      </c>
      <c r="AY832" s="487" t="s">
        <v>337</v>
      </c>
      <c r="AZ832" s="487">
        <f>+VLOOKUP($AJ832,Data_Validation!$A:$E,5,0)</f>
        <v>0</v>
      </c>
    </row>
    <row r="833" spans="1:52" ht="15" hidden="1" customHeight="1">
      <c r="A833" s="706" t="s">
        <v>1147</v>
      </c>
      <c r="B833" s="706">
        <v>2025</v>
      </c>
      <c r="C833" s="706" t="s">
        <v>2953</v>
      </c>
      <c r="D833" s="706" t="s">
        <v>2954</v>
      </c>
      <c r="E833" s="706" t="s">
        <v>333</v>
      </c>
      <c r="F833" s="706" t="s">
        <v>1151</v>
      </c>
      <c r="G833" s="706">
        <v>-7043.2</v>
      </c>
      <c r="H833" s="706">
        <v>-5270.52</v>
      </c>
      <c r="I833" s="706">
        <v>-6811.99</v>
      </c>
      <c r="J833" s="706">
        <v>-15602.56</v>
      </c>
      <c r="K833" s="706">
        <v>-15602.56</v>
      </c>
      <c r="L833" s="706">
        <v>-20889.11</v>
      </c>
      <c r="M833" s="706">
        <v>-23559.02</v>
      </c>
      <c r="N833" s="706">
        <v>-23569.45</v>
      </c>
      <c r="O833" s="706">
        <v>-24313.48</v>
      </c>
      <c r="P833" s="706">
        <v>-31365.13</v>
      </c>
      <c r="Q833" s="706">
        <v>-31255.41</v>
      </c>
      <c r="R833" s="706">
        <v>-78992.72</v>
      </c>
      <c r="S833" s="706">
        <v>-2841.4</v>
      </c>
      <c r="T833" s="706">
        <v>-2841.4</v>
      </c>
      <c r="U833" s="706">
        <v>-49236.6</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G68800</v>
      </c>
      <c r="AK833" s="905" t="str">
        <f t="shared" si="84"/>
        <v>RECTIFIC.STOCK PIECES</v>
      </c>
      <c r="AL833" s="905">
        <f>IFERROR(INDEX(G833:R833,1,MATCH(Parametres!$B$3,G$1:R$1,0)-1)*IF(OR(F833="L",F833="S",F833="I"),-1,1),"")</f>
        <v>-31255.41</v>
      </c>
      <c r="AM833" s="905">
        <f t="shared" si="85"/>
        <v>-47737.31</v>
      </c>
      <c r="AN833" s="905">
        <f>INDEX(G833:R833,1,MATCH(Parametres!$B$3,G$1:R$1,0))*IF(OR(F833="L",F833="S",F833="I"),-1,1)</f>
        <v>-78992.72</v>
      </c>
      <c r="AO833" s="487" t="str">
        <f>+VLOOKUP($AJ833,Data_Validation!$A:$D,1,0)</f>
        <v>G68800</v>
      </c>
      <c r="AP833" s="487" t="str">
        <f>+VLOOKUP($AJ833,Data_Validation!$A:$D,3,0)</f>
        <v>Pièces</v>
      </c>
      <c r="AQ833" s="487" t="str">
        <f>+VLOOKUP($AJ833,Data_Validation!$A:$D,4,0)</f>
        <v>Rectif. Inventaire</v>
      </c>
      <c r="AR833" s="487" t="s">
        <v>299</v>
      </c>
      <c r="AS833" s="487">
        <f>+VLOOKUP($AJ833,Data_Validation!$A:$E,5,0)</f>
        <v>0</v>
      </c>
      <c r="AT833" s="904" t="str">
        <f t="shared" si="86"/>
        <v>G68800</v>
      </c>
      <c r="AU833" s="488" t="str">
        <f t="shared" si="87"/>
        <v>RECTIFIC.STOCK PIECES</v>
      </c>
      <c r="AV833" s="899">
        <f>IFERROR(INDEX(V833:AG833,1,MATCH(Parametres!$B$3,V$1:AG$1,0)-1)*IF(OR(C833="L",C833="S",C833="I"),-1,1),"")</f>
        <v>0</v>
      </c>
      <c r="AW833" s="899">
        <f t="shared" si="88"/>
        <v>0</v>
      </c>
      <c r="AX833" s="899">
        <f>INDEX(V833:AG833,1,MATCH(Parametres!$B$3,V$1:AG$1,0))*IF(OR(C833="L",C833="S",C833="I"),-1,1)</f>
        <v>0</v>
      </c>
      <c r="AY833" s="487" t="s">
        <v>337</v>
      </c>
      <c r="AZ833" s="487">
        <f>+VLOOKUP($AJ833,Data_Validation!$A:$E,5,0)</f>
        <v>0</v>
      </c>
    </row>
    <row r="834" spans="1:52" ht="15" hidden="1" customHeight="1">
      <c r="A834" s="706" t="s">
        <v>1147</v>
      </c>
      <c r="B834" s="706">
        <v>2025</v>
      </c>
      <c r="C834" s="706" t="s">
        <v>2955</v>
      </c>
      <c r="D834" s="706" t="s">
        <v>2956</v>
      </c>
      <c r="E834" s="706" t="s">
        <v>333</v>
      </c>
      <c r="F834" s="706" t="s">
        <v>1151</v>
      </c>
      <c r="G834" s="706">
        <v>14191.31</v>
      </c>
      <c r="H834" s="706">
        <v>19182.87</v>
      </c>
      <c r="I834" s="706">
        <v>21086.59</v>
      </c>
      <c r="J834" s="706">
        <v>34639.51</v>
      </c>
      <c r="K834" s="706">
        <v>48424.62</v>
      </c>
      <c r="L834" s="706">
        <v>51248.24</v>
      </c>
      <c r="M834" s="706">
        <v>54527.02</v>
      </c>
      <c r="N834" s="706">
        <v>69941.600000000006</v>
      </c>
      <c r="O834" s="706">
        <v>88128.33</v>
      </c>
      <c r="P834" s="706">
        <v>127601.48</v>
      </c>
      <c r="Q834" s="706">
        <v>190966.87</v>
      </c>
      <c r="R834" s="706">
        <v>235645.83</v>
      </c>
      <c r="S834" s="706">
        <v>17360.62</v>
      </c>
      <c r="T834" s="706">
        <v>17360.62</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G69000</v>
      </c>
      <c r="AK834" s="905" t="str">
        <f t="shared" si="84"/>
        <v>COUT-PNEUS VENDUS</v>
      </c>
      <c r="AL834" s="905">
        <f>IFERROR(INDEX(G834:R834,1,MATCH(Parametres!$B$3,G$1:R$1,0)-1)*IF(OR(F834="L",F834="S",F834="I"),-1,1),"")</f>
        <v>190966.87</v>
      </c>
      <c r="AM834" s="905">
        <f t="shared" si="85"/>
        <v>44678.959999999992</v>
      </c>
      <c r="AN834" s="905">
        <f>INDEX(G834:R834,1,MATCH(Parametres!$B$3,G$1:R$1,0))*IF(OR(F834="L",F834="S",F834="I"),-1,1)</f>
        <v>235645.83</v>
      </c>
      <c r="AO834" s="487" t="str">
        <f>+VLOOKUP($AJ834,Data_Validation!$A:$D,1,0)</f>
        <v>G69000</v>
      </c>
      <c r="AP834" s="487" t="str">
        <f>+VLOOKUP($AJ834,Data_Validation!$A:$D,3,0)</f>
        <v>Pièces</v>
      </c>
      <c r="AQ834" s="487" t="str">
        <f>+VLOOKUP($AJ834,Data_Validation!$A:$D,4,0)</f>
        <v>Ventes Pneus</v>
      </c>
      <c r="AR834" s="487" t="s">
        <v>299</v>
      </c>
      <c r="AS834" s="487">
        <f>+VLOOKUP($AJ834,Data_Validation!$A:$E,5,0)</f>
        <v>0</v>
      </c>
      <c r="AT834" s="904" t="str">
        <f t="shared" si="86"/>
        <v>G69000</v>
      </c>
      <c r="AU834" s="488" t="str">
        <f t="shared" si="87"/>
        <v>COUT-PNEUS VENDUS</v>
      </c>
      <c r="AV834" s="899">
        <f>IFERROR(INDEX(V834:AG834,1,MATCH(Parametres!$B$3,V$1:AG$1,0)-1)*IF(OR(C834="L",C834="S",C834="I"),-1,1),"")</f>
        <v>0</v>
      </c>
      <c r="AW834" s="899">
        <f t="shared" si="88"/>
        <v>0</v>
      </c>
      <c r="AX834" s="899">
        <f>INDEX(V834:AG834,1,MATCH(Parametres!$B$3,V$1:AG$1,0))*IF(OR(C834="L",C834="S",C834="I"),-1,1)</f>
        <v>0</v>
      </c>
      <c r="AY834" s="487" t="s">
        <v>337</v>
      </c>
      <c r="AZ834" s="487">
        <f>+VLOOKUP($AJ834,Data_Validation!$A:$E,5,0)</f>
        <v>0</v>
      </c>
    </row>
    <row r="835" spans="1:52" ht="15" hidden="1" customHeight="1">
      <c r="A835" s="706" t="s">
        <v>1147</v>
      </c>
      <c r="B835" s="706">
        <v>2025</v>
      </c>
      <c r="C835" s="706" t="s">
        <v>2957</v>
      </c>
      <c r="D835" s="706" t="s">
        <v>2958</v>
      </c>
      <c r="E835" s="706" t="s">
        <v>333</v>
      </c>
      <c r="F835" s="706" t="s">
        <v>1151</v>
      </c>
      <c r="G835" s="706">
        <v>3029.67</v>
      </c>
      <c r="H835" s="706">
        <v>5498.29</v>
      </c>
      <c r="I835" s="706">
        <v>8415.75</v>
      </c>
      <c r="J835" s="706">
        <v>10916.43</v>
      </c>
      <c r="K835" s="706">
        <v>13946.1</v>
      </c>
      <c r="L835" s="706">
        <v>24277.89</v>
      </c>
      <c r="M835" s="706">
        <v>35397.22</v>
      </c>
      <c r="N835" s="706">
        <v>45436.639999999999</v>
      </c>
      <c r="O835" s="706">
        <v>54016.72</v>
      </c>
      <c r="P835" s="706">
        <v>62427.8</v>
      </c>
      <c r="Q835" s="706">
        <v>68373.279999999999</v>
      </c>
      <c r="R835" s="706">
        <v>76269.34</v>
      </c>
      <c r="S835" s="706">
        <v>6215.75</v>
      </c>
      <c r="T835" s="706">
        <v>6215.75</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G69100</v>
      </c>
      <c r="AK835" s="905" t="str">
        <f t="shared" si="84"/>
        <v>COUT-HUILES &amp; GRAISSE</v>
      </c>
      <c r="AL835" s="905">
        <f>IFERROR(INDEX(G835:R835,1,MATCH(Parametres!$B$3,G$1:R$1,0)-1)*IF(OR(F835="L",F835="S",F835="I"),-1,1),"")</f>
        <v>68373.279999999999</v>
      </c>
      <c r="AM835" s="905">
        <f t="shared" si="85"/>
        <v>7896.0599999999977</v>
      </c>
      <c r="AN835" s="905">
        <f>INDEX(G835:R835,1,MATCH(Parametres!$B$3,G$1:R$1,0))*IF(OR(F835="L",F835="S",F835="I"),-1,1)</f>
        <v>76269.34</v>
      </c>
      <c r="AO835" s="487" t="str">
        <f>+VLOOKUP($AJ835,Data_Validation!$A:$D,1,0)</f>
        <v>G69100</v>
      </c>
      <c r="AP835" s="487" t="str">
        <f>+VLOOKUP($AJ835,Data_Validation!$A:$D,3,0)</f>
        <v>Pièces</v>
      </c>
      <c r="AQ835" s="487" t="str">
        <f>+VLOOKUP($AJ835,Data_Validation!$A:$D,4,0)</f>
        <v>Huiles et Graisse</v>
      </c>
      <c r="AR835" s="487" t="s">
        <v>299</v>
      </c>
      <c r="AS835" s="487">
        <f>+VLOOKUP($AJ835,Data_Validation!$A:$E,5,0)</f>
        <v>0</v>
      </c>
      <c r="AT835" s="904" t="str">
        <f t="shared" si="86"/>
        <v>G69100</v>
      </c>
      <c r="AU835" s="488" t="str">
        <f t="shared" si="87"/>
        <v>COUT-HUILES &amp; GRAISSE</v>
      </c>
      <c r="AV835" s="899">
        <f>IFERROR(INDEX(V835:AG835,1,MATCH(Parametres!$B$3,V$1:AG$1,0)-1)*IF(OR(C835="L",C835="S",C835="I"),-1,1),"")</f>
        <v>0</v>
      </c>
      <c r="AW835" s="899">
        <f t="shared" si="88"/>
        <v>0</v>
      </c>
      <c r="AX835" s="899">
        <f>INDEX(V835:AG835,1,MATCH(Parametres!$B$3,V$1:AG$1,0))*IF(OR(C835="L",C835="S",C835="I"),-1,1)</f>
        <v>0</v>
      </c>
      <c r="AY835" s="487" t="s">
        <v>337</v>
      </c>
      <c r="AZ835" s="487">
        <f>+VLOOKUP($AJ835,Data_Validation!$A:$E,5,0)</f>
        <v>0</v>
      </c>
    </row>
    <row r="836" spans="1:52" ht="15" customHeight="1">
      <c r="A836" s="706" t="s">
        <v>1147</v>
      </c>
      <c r="B836" s="706">
        <v>2025</v>
      </c>
      <c r="C836" s="706" t="s">
        <v>2959</v>
      </c>
      <c r="D836" s="706" t="s">
        <v>2960</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G711</v>
      </c>
      <c r="AK836" s="905" t="str">
        <f t="shared" si="84"/>
        <v>INTERETS          -SIMPLE</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G711</v>
      </c>
      <c r="AU836" s="488" t="str">
        <f t="shared" si="87"/>
        <v>INTERETS          -SIMPLE</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1147</v>
      </c>
      <c r="B837" s="706">
        <v>2025</v>
      </c>
      <c r="C837" s="706" t="s">
        <v>2961</v>
      </c>
      <c r="D837" s="706" t="s">
        <v>2962</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G712</v>
      </c>
      <c r="AK837" s="905" t="str">
        <f t="shared" si="84"/>
        <v>AMORTISSEMENT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G712</v>
      </c>
      <c r="AU837" s="488" t="str">
        <f t="shared" si="87"/>
        <v>AMORTISSEMENT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1147</v>
      </c>
      <c r="B838" s="706">
        <v>2025</v>
      </c>
      <c r="C838" s="706" t="s">
        <v>2963</v>
      </c>
      <c r="D838" s="706" t="s">
        <v>2964</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G713</v>
      </c>
      <c r="AK838" s="905" t="str">
        <f t="shared" si="84"/>
        <v>ASSUR.VEH EN SERV.-SIMPLE</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G713</v>
      </c>
      <c r="AU838" s="488" t="str">
        <f t="shared" si="87"/>
        <v>ASSUR.VEH EN SERV.-SIMPLE</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1147</v>
      </c>
      <c r="B839" s="706">
        <v>2025</v>
      </c>
      <c r="C839" s="706" t="s">
        <v>2965</v>
      </c>
      <c r="D839" s="706" t="s">
        <v>2966</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G714</v>
      </c>
      <c r="AK839" s="905" t="str">
        <f t="shared" si="84"/>
        <v>PLAQUE,TITRE,TAXES-SIMPLE</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G714</v>
      </c>
      <c r="AU839" s="488" t="str">
        <f t="shared" si="87"/>
        <v>PLAQUE,TITRE,TAXES-SIMPLE</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1147</v>
      </c>
      <c r="B840" s="706">
        <v>2025</v>
      </c>
      <c r="C840" s="706" t="s">
        <v>2967</v>
      </c>
      <c r="D840" s="706" t="s">
        <v>2968</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G715</v>
      </c>
      <c r="AK840" s="905" t="str">
        <f t="shared" si="84"/>
        <v>TRAVAUX GRACIEUX  -SIMPLE</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G715</v>
      </c>
      <c r="AU840" s="488" t="str">
        <f t="shared" si="87"/>
        <v>TRAVAUX GRACIEUX  -SIMPLE</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1147</v>
      </c>
      <c r="B841" s="706">
        <v>2025</v>
      </c>
      <c r="C841" s="706" t="s">
        <v>2969</v>
      </c>
      <c r="D841" s="706" t="s">
        <v>2970</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G716</v>
      </c>
      <c r="AK841" s="905" t="str">
        <f t="shared" si="84"/>
        <v>REPAR.&amp; ENTRETIEN -SIMPLE</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G716</v>
      </c>
      <c r="AU841" s="488" t="str">
        <f t="shared" si="87"/>
        <v>REPAR.&amp; ENTRETIEN -SIMPLE</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1147</v>
      </c>
      <c r="B842" s="706">
        <v>2025</v>
      </c>
      <c r="C842" s="706" t="s">
        <v>2971</v>
      </c>
      <c r="D842" s="706" t="s">
        <v>2972</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G717</v>
      </c>
      <c r="AK842" s="905" t="str">
        <f t="shared" si="84"/>
        <v>PRIX LOC.UNIT.S-LOUE-SIMP</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G717</v>
      </c>
      <c r="AU842" s="488" t="str">
        <f t="shared" si="87"/>
        <v>PRIX LOC.UNIT.S-LOUE-SIMP</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1147</v>
      </c>
      <c r="B843" s="706">
        <v>2025</v>
      </c>
      <c r="C843" s="706" t="s">
        <v>2973</v>
      </c>
      <c r="D843" s="706" t="s">
        <v>2974</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G718</v>
      </c>
      <c r="AK843" s="905" t="str">
        <f t="shared" si="84"/>
        <v>AUTRES            -SIMPLE</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G718</v>
      </c>
      <c r="AU843" s="488" t="str">
        <f t="shared" si="87"/>
        <v>AUTRES            -SIMPLE</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1147</v>
      </c>
      <c r="B844" s="706">
        <v>2025</v>
      </c>
      <c r="C844" s="706" t="s">
        <v>2975</v>
      </c>
      <c r="D844" s="706" t="s">
        <v>2976</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G721</v>
      </c>
      <c r="AK844" s="905" t="str">
        <f t="shared" si="84"/>
        <v>INTERETS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G721</v>
      </c>
      <c r="AU844" s="488" t="str">
        <f t="shared" si="87"/>
        <v>INTERETS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1147</v>
      </c>
      <c r="B845" s="706">
        <v>2025</v>
      </c>
      <c r="C845" s="706" t="s">
        <v>2977</v>
      </c>
      <c r="D845" s="706" t="s">
        <v>2978</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G722</v>
      </c>
      <c r="AK845" s="905" t="str">
        <f t="shared" si="84"/>
        <v>AMORTISSEMENT     -ALEATO</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G722</v>
      </c>
      <c r="AU845" s="488" t="str">
        <f t="shared" si="87"/>
        <v>AMORTISSEMENT     -ALEATO</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1147</v>
      </c>
      <c r="B846" s="706">
        <v>2025</v>
      </c>
      <c r="C846" s="706" t="s">
        <v>2979</v>
      </c>
      <c r="D846" s="706" t="s">
        <v>2980</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G723</v>
      </c>
      <c r="AK846" s="905" t="str">
        <f t="shared" si="84"/>
        <v>ASSUR.VEH EN SERV.-ALEATO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G723</v>
      </c>
      <c r="AU846" s="488" t="str">
        <f t="shared" si="87"/>
        <v>ASSUR.VEH EN SERV.-ALEATO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1147</v>
      </c>
      <c r="B847" s="706">
        <v>2025</v>
      </c>
      <c r="C847" s="706" t="s">
        <v>2981</v>
      </c>
      <c r="D847" s="706" t="s">
        <v>2982</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G724</v>
      </c>
      <c r="AK847" s="905" t="str">
        <f t="shared" si="84"/>
        <v>PLAQUE,TITRE,TAXES-ALEATO</v>
      </c>
      <c r="AL847" s="905">
        <f>IFERROR(INDEX(G847:R847,1,MATCH(Parametres!$B$3,G$1:R$1,0)-1)*IF(OR(F847="L",F847="S",F847="I"),-1,1),"")</f>
        <v>0</v>
      </c>
      <c r="AM847" s="905">
        <f t="shared" si="8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t="str">
        <f t="shared" si="86"/>
        <v>G724</v>
      </c>
      <c r="AU847" s="488" t="str">
        <f t="shared" si="87"/>
        <v>PLAQUE,TITRE,TAXES-ALEATO</v>
      </c>
      <c r="AV847" s="899">
        <f>IFERROR(INDEX(V847:AG847,1,MATCH(Parametres!$B$3,V$1:AG$1,0)-1)*IF(OR(C847="L",C847="S",C847="I"),-1,1),"")</f>
        <v>0</v>
      </c>
      <c r="AW847" s="899">
        <f t="shared" si="88"/>
        <v>0</v>
      </c>
      <c r="AX847" s="899">
        <f>INDEX(V847:AG847,1,MATCH(Parametres!$B$3,V$1:AG$1,0))*IF(OR(C847="L",C847="S",C847="I"),-1,1)</f>
        <v>0</v>
      </c>
      <c r="AY847" s="487" t="s">
        <v>337</v>
      </c>
      <c r="AZ847" s="487" t="e">
        <f>+VLOOKUP($AJ847,Data_Validation!$A:$E,5,0)</f>
        <v>#N/A</v>
      </c>
    </row>
    <row r="848" spans="1:52" ht="15" customHeight="1">
      <c r="A848" s="706" t="s">
        <v>1147</v>
      </c>
      <c r="B848" s="706">
        <v>2025</v>
      </c>
      <c r="C848" s="706" t="s">
        <v>2983</v>
      </c>
      <c r="D848" s="706" t="s">
        <v>2984</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G72402</v>
      </c>
      <c r="AK848" s="905" t="str">
        <f t="shared" si="84"/>
        <v>ENTRETIEN COURT TERME</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G72402</v>
      </c>
      <c r="AU848" s="488" t="str">
        <f t="shared" si="87"/>
        <v>ENTRETIEN COURT TERME</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1147</v>
      </c>
      <c r="B849" s="706">
        <v>2025</v>
      </c>
      <c r="C849" s="706" t="s">
        <v>2985</v>
      </c>
      <c r="D849" s="706" t="s">
        <v>2986</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G725</v>
      </c>
      <c r="AK849" s="905" t="str">
        <f t="shared" si="84"/>
        <v>TRAVAUX GRACIEUX  -ALEATO</v>
      </c>
      <c r="AL849" s="905">
        <f>IFERROR(INDEX(G849:R849,1,MATCH(Parametres!$B$3,G$1:R$1,0)-1)*IF(OR(F849="L",F849="S",F849="I"),-1,1),"")</f>
        <v>0</v>
      </c>
      <c r="AM849" s="905">
        <f t="shared" si="8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t="str">
        <f t="shared" si="86"/>
        <v>G725</v>
      </c>
      <c r="AU849" s="488" t="str">
        <f t="shared" si="87"/>
        <v>TRAVAUX GRACIEUX  -ALEATO</v>
      </c>
      <c r="AV849" s="899">
        <f>IFERROR(INDEX(V849:AG849,1,MATCH(Parametres!$B$3,V$1:AG$1,0)-1)*IF(OR(C849="L",C849="S",C849="I"),-1,1),"")</f>
        <v>0</v>
      </c>
      <c r="AW849" s="899">
        <f t="shared" si="88"/>
        <v>0</v>
      </c>
      <c r="AX849" s="899">
        <f>INDEX(V849:AG849,1,MATCH(Parametres!$B$3,V$1:AG$1,0))*IF(OR(C849="L",C849="S",C849="I"),-1,1)</f>
        <v>0</v>
      </c>
      <c r="AY849" s="487" t="s">
        <v>337</v>
      </c>
      <c r="AZ849" s="487" t="e">
        <f>+VLOOKUP($AJ849,Data_Validation!$A:$E,5,0)</f>
        <v>#N/A</v>
      </c>
    </row>
    <row r="850" spans="1:52" ht="15" customHeight="1">
      <c r="A850" s="706" t="s">
        <v>1147</v>
      </c>
      <c r="B850" s="706">
        <v>2025</v>
      </c>
      <c r="C850" s="706" t="s">
        <v>2987</v>
      </c>
      <c r="D850" s="706" t="s">
        <v>2988</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G726</v>
      </c>
      <c r="AK850" s="905" t="str">
        <f t="shared" si="84"/>
        <v>REPAR.&amp; ENTRETIEN -ALEATO</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G726</v>
      </c>
      <c r="AU850" s="488" t="str">
        <f t="shared" si="87"/>
        <v>REPAR.&amp; ENTRETIEN -ALEATO</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1147</v>
      </c>
      <c r="B851" s="706">
        <v>2025</v>
      </c>
      <c r="C851" s="706" t="s">
        <v>2989</v>
      </c>
      <c r="D851" s="706" t="s">
        <v>2990</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G727</v>
      </c>
      <c r="AK851" s="905" t="str">
        <f t="shared" si="84"/>
        <v>PRIX LOC.UNIT.S-LOUE-ALEA</v>
      </c>
      <c r="AL851" s="905">
        <f>IFERROR(INDEX(G851:R851,1,MATCH(Parametres!$B$3,G$1:R$1,0)-1)*IF(OR(F851="L",F851="S",F851="I"),-1,1),"")</f>
        <v>0</v>
      </c>
      <c r="AM851" s="905">
        <f t="shared" si="8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t="str">
        <f t="shared" si="86"/>
        <v>G727</v>
      </c>
      <c r="AU851" s="488" t="str">
        <f t="shared" si="87"/>
        <v>PRIX LOC.UNIT.S-LOUE-ALEA</v>
      </c>
      <c r="AV851" s="899">
        <f>IFERROR(INDEX(V851:AG851,1,MATCH(Parametres!$B$3,V$1:AG$1,0)-1)*IF(OR(C851="L",C851="S",C851="I"),-1,1),"")</f>
        <v>0</v>
      </c>
      <c r="AW851" s="899">
        <f t="shared" si="88"/>
        <v>0</v>
      </c>
      <c r="AX851" s="899">
        <f>INDEX(V851:AG851,1,MATCH(Parametres!$B$3,V$1:AG$1,0))*IF(OR(C851="L",C851="S",C851="I"),-1,1)</f>
        <v>0</v>
      </c>
      <c r="AY851" s="487" t="s">
        <v>337</v>
      </c>
      <c r="AZ851" s="487" t="e">
        <f>+VLOOKUP($AJ851,Data_Validation!$A:$E,5,0)</f>
        <v>#N/A</v>
      </c>
    </row>
    <row r="852" spans="1:52" ht="15" customHeight="1">
      <c r="A852" s="706" t="s">
        <v>1147</v>
      </c>
      <c r="B852" s="706">
        <v>2025</v>
      </c>
      <c r="C852" s="706" t="s">
        <v>2991</v>
      </c>
      <c r="D852" s="706" t="s">
        <v>2992</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G728</v>
      </c>
      <c r="AK852" s="905" t="str">
        <f t="shared" si="84"/>
        <v>AUTRES            -ALEATO</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G728</v>
      </c>
      <c r="AU852" s="488" t="str">
        <f t="shared" si="87"/>
        <v>AUTRES            -ALEATO</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1147</v>
      </c>
      <c r="B853" s="706">
        <v>2025</v>
      </c>
      <c r="C853" s="706" t="s">
        <v>2993</v>
      </c>
      <c r="D853" s="706" t="s">
        <v>2994</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G73000</v>
      </c>
      <c r="AK853" s="905" t="str">
        <f t="shared" si="84"/>
        <v>COUT VTES VEHICULES CEDES</v>
      </c>
      <c r="AL853" s="905">
        <f>IFERROR(INDEX(G853:R853,1,MATCH(Parametres!$B$3,G$1:R$1,0)-1)*IF(OR(F853="L",F853="S",F853="I"),-1,1),"")</f>
        <v>0</v>
      </c>
      <c r="AM853" s="905">
        <f t="shared" si="85"/>
        <v>0</v>
      </c>
      <c r="AN853" s="905">
        <f>INDEX(G853:R853,1,MATCH(Parametres!$B$3,G$1:R$1,0))*IF(OR(F853="L",F853="S",F853="I"),-1,1)</f>
        <v>0</v>
      </c>
      <c r="AO853" s="487" t="str">
        <f>+VLOOKUP($AJ853,Data_Validation!$A:$D,1,0)</f>
        <v>G73000</v>
      </c>
      <c r="AP853" s="487">
        <f>+VLOOKUP($AJ853,Data_Validation!$A:$D,3,0)</f>
        <v>0</v>
      </c>
      <c r="AQ853" s="487">
        <f>+VLOOKUP($AJ853,Data_Validation!$A:$D,4,0)</f>
        <v>0</v>
      </c>
      <c r="AR853" s="487" t="s">
        <v>299</v>
      </c>
      <c r="AS853" s="487">
        <f>+VLOOKUP($AJ853,Data_Validation!$A:$E,5,0)</f>
        <v>0</v>
      </c>
      <c r="AT853" s="904" t="str">
        <f t="shared" si="86"/>
        <v>G73000</v>
      </c>
      <c r="AU853" s="488" t="str">
        <f t="shared" si="87"/>
        <v>COUT VTES VEHICULES CEDES</v>
      </c>
      <c r="AV853" s="899">
        <f>IFERROR(INDEX(V853:AG853,1,MATCH(Parametres!$B$3,V$1:AG$1,0)-1)*IF(OR(C853="L",C853="S",C853="I"),-1,1),"")</f>
        <v>0</v>
      </c>
      <c r="AW853" s="899">
        <f t="shared" si="88"/>
        <v>0</v>
      </c>
      <c r="AX853" s="899">
        <f>INDEX(V853:AG853,1,MATCH(Parametres!$B$3,V$1:AG$1,0))*IF(OR(C853="L",C853="S",C853="I"),-1,1)</f>
        <v>0</v>
      </c>
      <c r="AY853" s="487" t="s">
        <v>337</v>
      </c>
      <c r="AZ853" s="487">
        <f>+VLOOKUP($AJ853,Data_Validation!$A:$E,5,0)</f>
        <v>0</v>
      </c>
    </row>
    <row r="854" spans="1:52" ht="15" customHeight="1">
      <c r="A854" s="706" t="s">
        <v>1147</v>
      </c>
      <c r="B854" s="706">
        <v>2025</v>
      </c>
      <c r="C854" s="706" t="s">
        <v>2995</v>
      </c>
      <c r="D854" s="706" t="s">
        <v>2996</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G731</v>
      </c>
      <c r="AK854" s="905" t="str">
        <f t="shared" si="84"/>
        <v>INTERETS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G731</v>
      </c>
      <c r="AU854" s="488" t="str">
        <f t="shared" si="87"/>
        <v>INTERETS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1147</v>
      </c>
      <c r="B855" s="706">
        <v>2025</v>
      </c>
      <c r="C855" s="706" t="s">
        <v>2997</v>
      </c>
      <c r="D855" s="706" t="s">
        <v>2998</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G73100</v>
      </c>
      <c r="AK855" s="905" t="str">
        <f t="shared" si="84"/>
        <v>INTERETS LOCATION C/TERME</v>
      </c>
      <c r="AL855" s="905">
        <f>IFERROR(INDEX(G855:R855,1,MATCH(Parametres!$B$3,G$1:R$1,0)-1)*IF(OR(F855="L",F855="S",F855="I"),-1,1),"")</f>
        <v>0</v>
      </c>
      <c r="AM855" s="905">
        <f t="shared" si="85"/>
        <v>0</v>
      </c>
      <c r="AN855" s="905">
        <f>INDEX(G855:R855,1,MATCH(Parametres!$B$3,G$1:R$1,0))*IF(OR(F855="L",F855="S",F855="I"),-1,1)</f>
        <v>0</v>
      </c>
      <c r="AO855" s="487" t="str">
        <f>+VLOOKUP($AJ855,Data_Validation!$A:$D,1,0)</f>
        <v>G73100</v>
      </c>
      <c r="AP855" s="487">
        <f>+VLOOKUP($AJ855,Data_Validation!$A:$D,3,0)</f>
        <v>0</v>
      </c>
      <c r="AQ855" s="487">
        <f>+VLOOKUP($AJ855,Data_Validation!$A:$D,4,0)</f>
        <v>0</v>
      </c>
      <c r="AR855" s="487" t="s">
        <v>299</v>
      </c>
      <c r="AS855" s="487">
        <f>+VLOOKUP($AJ855,Data_Validation!$A:$E,5,0)</f>
        <v>0</v>
      </c>
      <c r="AT855" s="904" t="str">
        <f t="shared" si="86"/>
        <v>G73100</v>
      </c>
      <c r="AU855" s="488" t="str">
        <f t="shared" si="87"/>
        <v>INTERETS LOCATION C/TERME</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1147</v>
      </c>
      <c r="B856" s="706">
        <v>2025</v>
      </c>
      <c r="C856" s="706" t="s">
        <v>2999</v>
      </c>
      <c r="D856" s="706" t="s">
        <v>3000</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G732</v>
      </c>
      <c r="AK856" s="905" t="str">
        <f t="shared" si="84"/>
        <v>AMORTISSEMENT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G732</v>
      </c>
      <c r="AU856" s="488" t="str">
        <f t="shared" si="87"/>
        <v>AMORTISSEMENT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1147</v>
      </c>
      <c r="B857" s="706">
        <v>2025</v>
      </c>
      <c r="C857" s="706" t="s">
        <v>3001</v>
      </c>
      <c r="D857" s="706" t="s">
        <v>3002</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G73200</v>
      </c>
      <c r="AK857" s="905" t="str">
        <f t="shared" si="84"/>
        <v>AMORT. LOCATION C/TERME</v>
      </c>
      <c r="AL857" s="905">
        <f>IFERROR(INDEX(G857:R857,1,MATCH(Parametres!$B$3,G$1:R$1,0)-1)*IF(OR(F857="L",F857="S",F857="I"),-1,1),"")</f>
        <v>0</v>
      </c>
      <c r="AM857" s="905">
        <f t="shared" si="85"/>
        <v>0</v>
      </c>
      <c r="AN857" s="905">
        <f>INDEX(G857:R857,1,MATCH(Parametres!$B$3,G$1:R$1,0))*IF(OR(F857="L",F857="S",F857="I"),-1,1)</f>
        <v>0</v>
      </c>
      <c r="AO857" s="487" t="str">
        <f>+VLOOKUP($AJ857,Data_Validation!$A:$D,1,0)</f>
        <v>G73200</v>
      </c>
      <c r="AP857" s="487">
        <f>+VLOOKUP($AJ857,Data_Validation!$A:$D,3,0)</f>
        <v>0</v>
      </c>
      <c r="AQ857" s="487">
        <f>+VLOOKUP($AJ857,Data_Validation!$A:$D,4,0)</f>
        <v>0</v>
      </c>
      <c r="AR857" s="487" t="s">
        <v>299</v>
      </c>
      <c r="AS857" s="487">
        <f>+VLOOKUP($AJ857,Data_Validation!$A:$E,5,0)</f>
        <v>0</v>
      </c>
      <c r="AT857" s="904" t="str">
        <f t="shared" si="86"/>
        <v>G73200</v>
      </c>
      <c r="AU857" s="488" t="str">
        <f t="shared" si="87"/>
        <v>AMORT. LOCATION C/TERME</v>
      </c>
      <c r="AV857" s="899">
        <f>IFERROR(INDEX(V857:AG857,1,MATCH(Parametres!$B$3,V$1:AG$1,0)-1)*IF(OR(C857="L",C857="S",C857="I"),-1,1),"")</f>
        <v>0</v>
      </c>
      <c r="AW857" s="899">
        <f t="shared" si="88"/>
        <v>0</v>
      </c>
      <c r="AX857" s="899">
        <f>INDEX(V857:AG857,1,MATCH(Parametres!$B$3,V$1:AG$1,0))*IF(OR(C857="L",C857="S",C857="I"),-1,1)</f>
        <v>0</v>
      </c>
      <c r="AY857" s="487" t="s">
        <v>337</v>
      </c>
      <c r="AZ857" s="487">
        <f>+VLOOKUP($AJ857,Data_Validation!$A:$E,5,0)</f>
        <v>0</v>
      </c>
    </row>
    <row r="858" spans="1:52" ht="15" customHeight="1">
      <c r="A858" s="706" t="s">
        <v>1147</v>
      </c>
      <c r="B858" s="706">
        <v>2025</v>
      </c>
      <c r="C858" s="706" t="s">
        <v>3003</v>
      </c>
      <c r="D858" s="706" t="s">
        <v>3004</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G733</v>
      </c>
      <c r="AK858" s="905" t="str">
        <f t="shared" si="84"/>
        <v>ASSUR.VEH EN SERV.   -C/T</v>
      </c>
      <c r="AL858" s="905">
        <f>IFERROR(INDEX(G858:R858,1,MATCH(Parametres!$B$3,G$1:R$1,0)-1)*IF(OR(F858="L",F858="S",F858="I"),-1,1),"")</f>
        <v>0</v>
      </c>
      <c r="AM858" s="905">
        <f t="shared" si="85"/>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t="str">
        <f t="shared" si="86"/>
        <v>G733</v>
      </c>
      <c r="AU858" s="488" t="str">
        <f t="shared" si="87"/>
        <v>ASSUR.VEH EN SERV.   -C/T</v>
      </c>
      <c r="AV858" s="899">
        <f>IFERROR(INDEX(V858:AG858,1,MATCH(Parametres!$B$3,V$1:AG$1,0)-1)*IF(OR(C858="L",C858="S",C858="I"),-1,1),"")</f>
        <v>0</v>
      </c>
      <c r="AW858" s="899">
        <f t="shared" si="88"/>
        <v>0</v>
      </c>
      <c r="AX858" s="899">
        <f>INDEX(V858:AG858,1,MATCH(Parametres!$B$3,V$1:AG$1,0))*IF(OR(C858="L",C858="S",C858="I"),-1,1)</f>
        <v>0</v>
      </c>
      <c r="AY858" s="487" t="s">
        <v>337</v>
      </c>
      <c r="AZ858" s="487" t="e">
        <f>+VLOOKUP($AJ858,Data_Validation!$A:$E,5,0)</f>
        <v>#N/A</v>
      </c>
    </row>
    <row r="859" spans="1:52" ht="15" customHeight="1">
      <c r="A859" s="706" t="s">
        <v>1147</v>
      </c>
      <c r="B859" s="706">
        <v>2025</v>
      </c>
      <c r="C859" s="706" t="s">
        <v>3005</v>
      </c>
      <c r="D859" s="706" t="s">
        <v>3006</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G73300</v>
      </c>
      <c r="AK859" s="905" t="str">
        <f t="shared" ref="AK859:AK922" si="90">D859</f>
        <v>ASSURANCES COURTOISIES</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G73300</v>
      </c>
      <c r="AU859" s="488" t="str">
        <f t="shared" ref="AU859:AU922" si="93">D859</f>
        <v>ASSURANCES COURTOISIES</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1147</v>
      </c>
      <c r="B860" s="706">
        <v>2025</v>
      </c>
      <c r="C860" s="706" t="s">
        <v>3007</v>
      </c>
      <c r="D860" s="706" t="s">
        <v>3008</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G734</v>
      </c>
      <c r="AK860" s="905" t="str">
        <f t="shared" si="90"/>
        <v>PLAQUE,TITRE,TAXES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G734</v>
      </c>
      <c r="AU860" s="488" t="str">
        <f t="shared" si="93"/>
        <v>PLAQUE,TITRE,TAXES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1147</v>
      </c>
      <c r="B861" s="706">
        <v>2025</v>
      </c>
      <c r="C861" s="706" t="s">
        <v>3009</v>
      </c>
      <c r="D861" s="706" t="s">
        <v>3010</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G73400</v>
      </c>
      <c r="AK861" s="905" t="str">
        <f t="shared" si="90"/>
        <v>PLAQUES TITRES LOC.C/TERM</v>
      </c>
      <c r="AL861" s="905">
        <f>IFERROR(INDEX(G861:R861,1,MATCH(Parametres!$B$3,G$1:R$1,0)-1)*IF(OR(F861="L",F861="S",F861="I"),-1,1),"")</f>
        <v>0</v>
      </c>
      <c r="AM861" s="905">
        <f t="shared" si="91"/>
        <v>0</v>
      </c>
      <c r="AN861" s="905">
        <f>INDEX(G861:R861,1,MATCH(Parametres!$B$3,G$1:R$1,0))*IF(OR(F861="L",F861="S",F861="I"),-1,1)</f>
        <v>0</v>
      </c>
      <c r="AO861" s="487" t="str">
        <f>+VLOOKUP($AJ861,Data_Validation!$A:$D,1,0)</f>
        <v>G73400</v>
      </c>
      <c r="AP861" s="487">
        <f>+VLOOKUP($AJ861,Data_Validation!$A:$D,3,0)</f>
        <v>0</v>
      </c>
      <c r="AQ861" s="487">
        <f>+VLOOKUP($AJ861,Data_Validation!$A:$D,4,0)</f>
        <v>0</v>
      </c>
      <c r="AR861" s="487" t="s">
        <v>299</v>
      </c>
      <c r="AS861" s="487">
        <f>+VLOOKUP($AJ861,Data_Validation!$A:$E,5,0)</f>
        <v>0</v>
      </c>
      <c r="AT861" s="904" t="str">
        <f t="shared" si="92"/>
        <v>G73400</v>
      </c>
      <c r="AU861" s="488" t="str">
        <f t="shared" si="93"/>
        <v>PLAQUES TITRES LOC.C/TERM</v>
      </c>
      <c r="AV861" s="899">
        <f>IFERROR(INDEX(V861:AG861,1,MATCH(Parametres!$B$3,V$1:AG$1,0)-1)*IF(OR(C861="L",C861="S",C861="I"),-1,1),"")</f>
        <v>0</v>
      </c>
      <c r="AW861" s="899">
        <f t="shared" si="94"/>
        <v>0</v>
      </c>
      <c r="AX861" s="899">
        <f>INDEX(V861:AG861,1,MATCH(Parametres!$B$3,V$1:AG$1,0))*IF(OR(C861="L",C861="S",C861="I"),-1,1)</f>
        <v>0</v>
      </c>
      <c r="AY861" s="487" t="s">
        <v>337</v>
      </c>
      <c r="AZ861" s="487">
        <f>+VLOOKUP($AJ861,Data_Validation!$A:$E,5,0)</f>
        <v>0</v>
      </c>
    </row>
    <row r="862" spans="1:52" ht="15" customHeight="1">
      <c r="A862" s="706" t="s">
        <v>1147</v>
      </c>
      <c r="B862" s="706">
        <v>2025</v>
      </c>
      <c r="C862" s="706" t="s">
        <v>3011</v>
      </c>
      <c r="D862" s="706" t="s">
        <v>3012</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G735</v>
      </c>
      <c r="AK862" s="905" t="str">
        <f t="shared" si="90"/>
        <v>TRAVAUX GRACIEUX     -C/T</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G735</v>
      </c>
      <c r="AU862" s="488" t="str">
        <f t="shared" si="93"/>
        <v>TRAVAUX GRACIEUX     -C/T</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1147</v>
      </c>
      <c r="B863" s="706">
        <v>2025</v>
      </c>
      <c r="C863" s="706" t="s">
        <v>3013</v>
      </c>
      <c r="D863" s="706" t="s">
        <v>3014</v>
      </c>
      <c r="E863" s="706" t="s">
        <v>333</v>
      </c>
      <c r="F863" s="706" t="s">
        <v>1104</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G736</v>
      </c>
      <c r="AK863" s="905" t="str">
        <f t="shared" si="90"/>
        <v>REPAR.&amp; ENTRETIEN    -C/T</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G736</v>
      </c>
      <c r="AU863" s="488" t="str">
        <f t="shared" si="93"/>
        <v>REPAR.&amp; ENTRETIEN    -C/T</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customHeight="1">
      <c r="A864" s="706" t="s">
        <v>1147</v>
      </c>
      <c r="B864" s="706">
        <v>2025</v>
      </c>
      <c r="C864" s="706" t="s">
        <v>3015</v>
      </c>
      <c r="D864" s="706" t="s">
        <v>3016</v>
      </c>
      <c r="E864" s="706" t="s">
        <v>333</v>
      </c>
      <c r="F864" s="706" t="s">
        <v>1104</v>
      </c>
      <c r="G864" s="706">
        <v>0</v>
      </c>
      <c r="H864" s="706">
        <v>0</v>
      </c>
      <c r="I864" s="706">
        <v>0</v>
      </c>
      <c r="J864" s="706">
        <v>0</v>
      </c>
      <c r="K864" s="706">
        <v>0</v>
      </c>
      <c r="L864" s="706">
        <v>0</v>
      </c>
      <c r="M864" s="706">
        <v>0</v>
      </c>
      <c r="N864" s="706">
        <v>0</v>
      </c>
      <c r="O864" s="706">
        <v>0</v>
      </c>
      <c r="P864" s="706">
        <v>0</v>
      </c>
      <c r="Q864" s="706">
        <v>0</v>
      </c>
      <c r="R864" s="706">
        <v>0</v>
      </c>
      <c r="S864" s="706">
        <v>0</v>
      </c>
      <c r="T864" s="706">
        <v>0</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9"/>
        <v>G73600</v>
      </c>
      <c r="AK864" s="905" t="str">
        <f t="shared" si="90"/>
        <v>REPAR. ENTRETIEN LOC C/T</v>
      </c>
      <c r="AL864" s="905">
        <f>IFERROR(INDEX(G864:R864,1,MATCH(Parametres!$B$3,G$1:R$1,0)-1)*IF(OR(F864="L",F864="S",F864="I"),-1,1),"")</f>
        <v>0</v>
      </c>
      <c r="AM864" s="905">
        <f t="shared" si="91"/>
        <v>0</v>
      </c>
      <c r="AN864" s="905">
        <f>INDEX(G864:R864,1,MATCH(Parametres!$B$3,G$1:R$1,0))*IF(OR(F864="L",F864="S",F864="I"),-1,1)</f>
        <v>0</v>
      </c>
      <c r="AO864" s="487" t="str">
        <f>+VLOOKUP($AJ864,Data_Validation!$A:$D,1,0)</f>
        <v>G73600</v>
      </c>
      <c r="AP864" s="487">
        <f>+VLOOKUP($AJ864,Data_Validation!$A:$D,3,0)</f>
        <v>0</v>
      </c>
      <c r="AQ864" s="487">
        <f>+VLOOKUP($AJ864,Data_Validation!$A:$D,4,0)</f>
        <v>0</v>
      </c>
      <c r="AR864" s="487" t="s">
        <v>299</v>
      </c>
      <c r="AS864" s="487">
        <f>+VLOOKUP($AJ864,Data_Validation!$A:$E,5,0)</f>
        <v>0</v>
      </c>
      <c r="AT864" s="904" t="str">
        <f t="shared" si="92"/>
        <v>G73600</v>
      </c>
      <c r="AU864" s="488" t="str">
        <f t="shared" si="93"/>
        <v>REPAR. ENTRETIEN LOC C/T</v>
      </c>
      <c r="AV864" s="899">
        <f>IFERROR(INDEX(V864:AG864,1,MATCH(Parametres!$B$3,V$1:AG$1,0)-1)*IF(OR(C864="L",C864="S",C864="I"),-1,1),"")</f>
        <v>0</v>
      </c>
      <c r="AW864" s="899">
        <f t="shared" si="94"/>
        <v>0</v>
      </c>
      <c r="AX864" s="899">
        <f>INDEX(V864:AG864,1,MATCH(Parametres!$B$3,V$1:AG$1,0))*IF(OR(C864="L",C864="S",C864="I"),-1,1)</f>
        <v>0</v>
      </c>
      <c r="AY864" s="487" t="s">
        <v>337</v>
      </c>
      <c r="AZ864" s="487">
        <f>+VLOOKUP($AJ864,Data_Validation!$A:$E,5,0)</f>
        <v>0</v>
      </c>
    </row>
    <row r="865" spans="1:52" ht="15" customHeight="1">
      <c r="A865" s="706" t="s">
        <v>1147</v>
      </c>
      <c r="B865" s="706">
        <v>2025</v>
      </c>
      <c r="C865" s="706" t="s">
        <v>3017</v>
      </c>
      <c r="D865" s="706" t="s">
        <v>3018</v>
      </c>
      <c r="E865" s="706" t="s">
        <v>333</v>
      </c>
      <c r="F865" s="706" t="s">
        <v>1104</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G737</v>
      </c>
      <c r="AK865" s="905" t="str">
        <f t="shared" si="90"/>
        <v>PRIX LOC.UNIT.S-LOUE -C/T</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G737</v>
      </c>
      <c r="AU865" s="488" t="str">
        <f t="shared" si="93"/>
        <v>PRIX LOC.UNIT.S-LOUE -C/T</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customHeight="1">
      <c r="A866" s="706" t="s">
        <v>1147</v>
      </c>
      <c r="B866" s="706">
        <v>2025</v>
      </c>
      <c r="C866" s="706" t="s">
        <v>3019</v>
      </c>
      <c r="D866" s="706" t="s">
        <v>3020</v>
      </c>
      <c r="E866" s="706" t="s">
        <v>333</v>
      </c>
      <c r="F866" s="706" t="s">
        <v>1104</v>
      </c>
      <c r="G866" s="706">
        <v>0</v>
      </c>
      <c r="H866" s="706">
        <v>0</v>
      </c>
      <c r="I866" s="706">
        <v>0</v>
      </c>
      <c r="J866" s="706">
        <v>0</v>
      </c>
      <c r="K866" s="706">
        <v>0</v>
      </c>
      <c r="L866" s="706">
        <v>0</v>
      </c>
      <c r="M866" s="706">
        <v>0</v>
      </c>
      <c r="N866" s="706">
        <v>0</v>
      </c>
      <c r="O866" s="706">
        <v>0</v>
      </c>
      <c r="P866" s="706">
        <v>0</v>
      </c>
      <c r="Q866" s="706">
        <v>0</v>
      </c>
      <c r="R866" s="706">
        <v>0</v>
      </c>
      <c r="S866" s="706">
        <v>0</v>
      </c>
      <c r="T866" s="706">
        <v>0</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9"/>
        <v>G738</v>
      </c>
      <c r="AK866" s="905" t="str">
        <f t="shared" si="90"/>
        <v>AUTRES               -C/T</v>
      </c>
      <c r="AL866" s="905">
        <f>IFERROR(INDEX(G866:R866,1,MATCH(Parametres!$B$3,G$1:R$1,0)-1)*IF(OR(F866="L",F866="S",F866="I"),-1,1),"")</f>
        <v>0</v>
      </c>
      <c r="AM866" s="905">
        <f t="shared" si="9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t="str">
        <f t="shared" si="92"/>
        <v>G738</v>
      </c>
      <c r="AU866" s="488" t="str">
        <f t="shared" si="93"/>
        <v>AUTRES               -C/T</v>
      </c>
      <c r="AV866" s="899">
        <f>IFERROR(INDEX(V866:AG866,1,MATCH(Parametres!$B$3,V$1:AG$1,0)-1)*IF(OR(C866="L",C866="S",C866="I"),-1,1),"")</f>
        <v>0</v>
      </c>
      <c r="AW866" s="899">
        <f t="shared" si="94"/>
        <v>0</v>
      </c>
      <c r="AX866" s="899">
        <f>INDEX(V866:AG866,1,MATCH(Parametres!$B$3,V$1:AG$1,0))*IF(OR(C866="L",C866="S",C866="I"),-1,1)</f>
        <v>0</v>
      </c>
      <c r="AY866" s="487" t="s">
        <v>337</v>
      </c>
      <c r="AZ866" s="487" t="e">
        <f>+VLOOKUP($AJ866,Data_Validation!$A:$E,5,0)</f>
        <v>#N/A</v>
      </c>
    </row>
    <row r="867" spans="1:52" ht="15" customHeight="1">
      <c r="A867" s="706" t="s">
        <v>1147</v>
      </c>
      <c r="B867" s="706">
        <v>2025</v>
      </c>
      <c r="C867" s="706" t="s">
        <v>3021</v>
      </c>
      <c r="D867" s="706" t="s">
        <v>3022</v>
      </c>
      <c r="E867" s="706" t="s">
        <v>333</v>
      </c>
      <c r="F867" s="706" t="s">
        <v>1104</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G740</v>
      </c>
      <c r="AK867" s="905" t="str">
        <f t="shared" si="90"/>
        <v>COMM.DIRECT.F&amp;A LOC C&amp;L</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G740</v>
      </c>
      <c r="AU867" s="488" t="str">
        <f t="shared" si="93"/>
        <v>COMM.DIRECT.F&amp;A LOC C&amp;L</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customHeight="1">
      <c r="A868" s="706" t="s">
        <v>1147</v>
      </c>
      <c r="B868" s="706">
        <v>2025</v>
      </c>
      <c r="C868" s="706" t="s">
        <v>3023</v>
      </c>
      <c r="D868" s="706" t="s">
        <v>3024</v>
      </c>
      <c r="E868" s="706" t="s">
        <v>333</v>
      </c>
      <c r="F868" s="706" t="s">
        <v>1104</v>
      </c>
      <c r="G868" s="706">
        <v>0</v>
      </c>
      <c r="H868" s="706">
        <v>0</v>
      </c>
      <c r="I868" s="706">
        <v>0</v>
      </c>
      <c r="J868" s="706">
        <v>0</v>
      </c>
      <c r="K868" s="706">
        <v>0</v>
      </c>
      <c r="L868" s="706">
        <v>0</v>
      </c>
      <c r="M868" s="706">
        <v>0</v>
      </c>
      <c r="N868" s="706">
        <v>0</v>
      </c>
      <c r="O868" s="706">
        <v>0</v>
      </c>
      <c r="P868" s="706">
        <v>0</v>
      </c>
      <c r="Q868" s="706">
        <v>0</v>
      </c>
      <c r="R868" s="706">
        <v>0</v>
      </c>
      <c r="S868" s="706">
        <v>0</v>
      </c>
      <c r="T868" s="706">
        <v>0</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9"/>
        <v>G741</v>
      </c>
      <c r="AK868" s="905" t="str">
        <f t="shared" si="90"/>
        <v>RETROFACT.F&amp;A LOC C&amp;L TER</v>
      </c>
      <c r="AL868" s="905">
        <f>IFERROR(INDEX(G868:R868,1,MATCH(Parametres!$B$3,G$1:R$1,0)-1)*IF(OR(F868="L",F868="S",F868="I"),-1,1),"")</f>
        <v>0</v>
      </c>
      <c r="AM868" s="905">
        <f t="shared" si="9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t="str">
        <f t="shared" si="92"/>
        <v>G741</v>
      </c>
      <c r="AU868" s="488" t="str">
        <f t="shared" si="93"/>
        <v>RETROFACT.F&amp;A LOC C&amp;L TER</v>
      </c>
      <c r="AV868" s="899">
        <f>IFERROR(INDEX(V868:AG868,1,MATCH(Parametres!$B$3,V$1:AG$1,0)-1)*IF(OR(C868="L",C868="S",C868="I"),-1,1),"")</f>
        <v>0</v>
      </c>
      <c r="AW868" s="899">
        <f t="shared" si="94"/>
        <v>0</v>
      </c>
      <c r="AX868" s="899">
        <f>INDEX(V868:AG868,1,MATCH(Parametres!$B$3,V$1:AG$1,0))*IF(OR(C868="L",C868="S",C868="I"),-1,1)</f>
        <v>0</v>
      </c>
      <c r="AY868" s="487" t="s">
        <v>337</v>
      </c>
      <c r="AZ868" s="487" t="e">
        <f>+VLOOKUP($AJ868,Data_Validation!$A:$E,5,0)</f>
        <v>#N/A</v>
      </c>
    </row>
    <row r="869" spans="1:52" ht="15" customHeight="1">
      <c r="A869" s="706" t="s">
        <v>1147</v>
      </c>
      <c r="B869" s="706">
        <v>2025</v>
      </c>
      <c r="C869" s="706" t="s">
        <v>3025</v>
      </c>
      <c r="D869" s="706" t="s">
        <v>3026</v>
      </c>
      <c r="E869" s="706" t="s">
        <v>333</v>
      </c>
      <c r="F869" s="706" t="s">
        <v>1149</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G806</v>
      </c>
      <c r="AK869" s="905" t="str">
        <f t="shared" si="90"/>
        <v>REVENU FINANCE - NEUF</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G806</v>
      </c>
      <c r="AU869" s="488" t="str">
        <f t="shared" si="93"/>
        <v>REVENU FINANCE - NEUF</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1147</v>
      </c>
      <c r="B870" s="706">
        <v>2025</v>
      </c>
      <c r="C870" s="706" t="s">
        <v>3027</v>
      </c>
      <c r="D870" s="706" t="s">
        <v>3028</v>
      </c>
      <c r="E870" s="706" t="s">
        <v>333</v>
      </c>
      <c r="F870" s="706" t="s">
        <v>1149</v>
      </c>
      <c r="G870" s="706">
        <v>2212.44</v>
      </c>
      <c r="H870" s="706">
        <v>2462.44</v>
      </c>
      <c r="I870" s="706">
        <v>2154.5300000000002</v>
      </c>
      <c r="J870" s="706">
        <v>2375.37</v>
      </c>
      <c r="K870" s="706">
        <v>3088.92</v>
      </c>
      <c r="L870" s="706">
        <v>3577.17</v>
      </c>
      <c r="M870" s="706">
        <v>5226.93</v>
      </c>
      <c r="N870" s="706">
        <v>5332.73</v>
      </c>
      <c r="O870" s="706">
        <v>5332.73</v>
      </c>
      <c r="P870" s="706">
        <v>6414.43</v>
      </c>
      <c r="Q870" s="706">
        <v>6414.43</v>
      </c>
      <c r="R870" s="706">
        <v>7614.43</v>
      </c>
      <c r="S870" s="706">
        <v>583.13</v>
      </c>
      <c r="T870" s="706">
        <v>583.13</v>
      </c>
      <c r="U870" s="706">
        <v>0</v>
      </c>
      <c r="V870" s="706">
        <v>6</v>
      </c>
      <c r="W870" s="706">
        <v>7</v>
      </c>
      <c r="X870" s="706">
        <v>7</v>
      </c>
      <c r="Y870" s="706">
        <v>8</v>
      </c>
      <c r="Z870" s="706">
        <v>9</v>
      </c>
      <c r="AA870" s="706">
        <v>10</v>
      </c>
      <c r="AB870" s="706">
        <v>13</v>
      </c>
      <c r="AC870" s="706">
        <v>13</v>
      </c>
      <c r="AD870" s="706">
        <v>13</v>
      </c>
      <c r="AE870" s="706">
        <v>15</v>
      </c>
      <c r="AF870" s="706">
        <v>15</v>
      </c>
      <c r="AG870" s="706">
        <v>16</v>
      </c>
      <c r="AH870" s="706">
        <v>1</v>
      </c>
      <c r="AI870" s="706">
        <v>1</v>
      </c>
      <c r="AJ870" s="905" t="str">
        <f t="shared" si="89"/>
        <v>G80600</v>
      </c>
      <c r="AK870" s="905" t="str">
        <f t="shared" si="90"/>
        <v>REVENUS FINANCE VEH. NEUF</v>
      </c>
      <c r="AL870" s="905">
        <f>IFERROR(INDEX(G870:R870,1,MATCH(Parametres!$B$3,G$1:R$1,0)-1)*IF(OR(F870="L",F870="S",F870="I"),-1,1),"")</f>
        <v>-6414.43</v>
      </c>
      <c r="AM870" s="905">
        <f t="shared" si="91"/>
        <v>-1200</v>
      </c>
      <c r="AN870" s="905">
        <f>INDEX(G870:R870,1,MATCH(Parametres!$B$3,G$1:R$1,0))*IF(OR(F870="L",F870="S",F870="I"),-1,1)</f>
        <v>-7614.43</v>
      </c>
      <c r="AO870" s="487" t="str">
        <f>+VLOOKUP($AJ870,Data_Validation!$A:$D,1,0)</f>
        <v>G80600</v>
      </c>
      <c r="AP870" s="487" t="str">
        <f>+VLOOKUP($AJ870,Data_Validation!$A:$D,3,0)</f>
        <v>Véhicules neufs</v>
      </c>
      <c r="AQ870" s="487" t="str">
        <f>+VLOOKUP($AJ870,Data_Validation!$A:$D,4,0)</f>
        <v>Rev. Finances</v>
      </c>
      <c r="AR870" s="487" t="s">
        <v>299</v>
      </c>
      <c r="AS870" s="487" t="str">
        <f>+VLOOKUP($AJ870,Data_Validation!$A:$E,5,0)</f>
        <v>Oui</v>
      </c>
      <c r="AT870" s="904" t="str">
        <f t="shared" si="92"/>
        <v>G80600</v>
      </c>
      <c r="AU870" s="488" t="str">
        <f t="shared" si="93"/>
        <v>REVENUS FINANCE VEH. NEUF</v>
      </c>
      <c r="AV870" s="899">
        <f>IFERROR(INDEX(V870:AG870,1,MATCH(Parametres!$B$3,V$1:AG$1,0)-1)*IF(OR(C870="L",C870="S",C870="I"),-1,1),"")</f>
        <v>15</v>
      </c>
      <c r="AW870" s="899">
        <f t="shared" si="94"/>
        <v>1</v>
      </c>
      <c r="AX870" s="899">
        <f>INDEX(V870:AG870,1,MATCH(Parametres!$B$3,V$1:AG$1,0))*IF(OR(C870="L",C870="S",C870="I"),-1,1)</f>
        <v>16</v>
      </c>
      <c r="AY870" s="487" t="s">
        <v>337</v>
      </c>
      <c r="AZ870" s="487" t="str">
        <f>+VLOOKUP($AJ870,Data_Validation!$A:$E,5,0)</f>
        <v>Oui</v>
      </c>
    </row>
    <row r="871" spans="1:52" ht="15" customHeight="1">
      <c r="A871" s="706" t="s">
        <v>1147</v>
      </c>
      <c r="B871" s="706">
        <v>2025</v>
      </c>
      <c r="C871" s="706" t="s">
        <v>3029</v>
      </c>
      <c r="D871" s="706" t="s">
        <v>3030</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G807</v>
      </c>
      <c r="AK871" s="905" t="str">
        <f t="shared" si="90"/>
        <v>COMM/ASSURANCE -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G807</v>
      </c>
      <c r="AU871" s="488" t="str">
        <f t="shared" si="93"/>
        <v>COMM/ASSURANCE -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hidden="1" customHeight="1">
      <c r="A872" s="706" t="s">
        <v>1147</v>
      </c>
      <c r="B872" s="706">
        <v>2025</v>
      </c>
      <c r="C872" s="706" t="s">
        <v>3031</v>
      </c>
      <c r="D872" s="706" t="s">
        <v>3032</v>
      </c>
      <c r="E872" s="706" t="s">
        <v>333</v>
      </c>
      <c r="F872" s="706" t="s">
        <v>1149</v>
      </c>
      <c r="G872" s="706">
        <v>2951.91</v>
      </c>
      <c r="H872" s="706">
        <v>7601.83</v>
      </c>
      <c r="I872" s="706">
        <v>8686.1299999999992</v>
      </c>
      <c r="J872" s="706">
        <v>11788.37</v>
      </c>
      <c r="K872" s="706">
        <v>15831.85</v>
      </c>
      <c r="L872" s="706">
        <v>18732.04</v>
      </c>
      <c r="M872" s="706">
        <v>31739.26</v>
      </c>
      <c r="N872" s="706">
        <v>42511.77</v>
      </c>
      <c r="O872" s="706">
        <v>45560.79</v>
      </c>
      <c r="P872" s="706">
        <v>53571.88</v>
      </c>
      <c r="Q872" s="706">
        <v>56614.78</v>
      </c>
      <c r="R872" s="706">
        <v>62748.71</v>
      </c>
      <c r="S872" s="706">
        <v>5146.8</v>
      </c>
      <c r="T872" s="706">
        <v>5146.8</v>
      </c>
      <c r="U872" s="706">
        <v>0</v>
      </c>
      <c r="V872" s="706">
        <v>0</v>
      </c>
      <c r="W872" s="706">
        <v>-1</v>
      </c>
      <c r="X872" s="706">
        <v>-1</v>
      </c>
      <c r="Y872" s="706">
        <v>-1</v>
      </c>
      <c r="Z872" s="706">
        <v>-1</v>
      </c>
      <c r="AA872" s="706">
        <v>-1</v>
      </c>
      <c r="AB872" s="706">
        <v>-1</v>
      </c>
      <c r="AC872" s="706">
        <v>-1</v>
      </c>
      <c r="AD872" s="706">
        <v>-1</v>
      </c>
      <c r="AE872" s="706">
        <v>-1</v>
      </c>
      <c r="AF872" s="706">
        <v>-1</v>
      </c>
      <c r="AG872" s="706">
        <v>-1</v>
      </c>
      <c r="AH872" s="706">
        <v>0</v>
      </c>
      <c r="AI872" s="706">
        <v>0</v>
      </c>
      <c r="AJ872" s="905" t="str">
        <f t="shared" si="89"/>
        <v>G80700</v>
      </c>
      <c r="AK872" s="905" t="str">
        <f t="shared" si="90"/>
        <v>REV. ASS-VIE INVAL. NEUF</v>
      </c>
      <c r="AL872" s="905">
        <f>IFERROR(INDEX(G872:R872,1,MATCH(Parametres!$B$3,G$1:R$1,0)-1)*IF(OR(F872="L",F872="S",F872="I"),-1,1),"")</f>
        <v>-56614.78</v>
      </c>
      <c r="AM872" s="905">
        <f t="shared" si="91"/>
        <v>-6133.93</v>
      </c>
      <c r="AN872" s="905">
        <f>INDEX(G872:R872,1,MATCH(Parametres!$B$3,G$1:R$1,0))*IF(OR(F872="L",F872="S",F872="I"),-1,1)</f>
        <v>-62748.71</v>
      </c>
      <c r="AO872" s="487" t="str">
        <f>+VLOOKUP($AJ872,Data_Validation!$A:$D,1,0)</f>
        <v>G80700</v>
      </c>
      <c r="AP872" s="487" t="str">
        <f>+VLOOKUP($AJ872,Data_Validation!$A:$D,3,0)</f>
        <v>Véhicules neufs</v>
      </c>
      <c r="AQ872" s="487" t="str">
        <f>+VLOOKUP($AJ872,Data_Validation!$A:$D,4,0)</f>
        <v>Rev. Protections</v>
      </c>
      <c r="AR872" s="487" t="s">
        <v>299</v>
      </c>
      <c r="AS872" s="487" t="str">
        <f>+VLOOKUP($AJ872,Data_Validation!$A:$E,5,0)</f>
        <v>Oui</v>
      </c>
      <c r="AT872" s="904" t="str">
        <f t="shared" si="92"/>
        <v>G80700</v>
      </c>
      <c r="AU872" s="488" t="str">
        <f t="shared" si="93"/>
        <v>REV. ASS-VIE INVAL. NEUF</v>
      </c>
      <c r="AV872" s="899">
        <f>IFERROR(INDEX(V872:AG872,1,MATCH(Parametres!$B$3,V$1:AG$1,0)-1)*IF(OR(C872="L",C872="S",C872="I"),-1,1),"")</f>
        <v>-1</v>
      </c>
      <c r="AW872" s="899">
        <f t="shared" si="94"/>
        <v>0</v>
      </c>
      <c r="AX872" s="899">
        <f>INDEX(V872:AG872,1,MATCH(Parametres!$B$3,V$1:AG$1,0))*IF(OR(C872="L",C872="S",C872="I"),-1,1)</f>
        <v>-1</v>
      </c>
      <c r="AY872" s="487" t="s">
        <v>337</v>
      </c>
      <c r="AZ872" s="487" t="str">
        <f>+VLOOKUP($AJ872,Data_Validation!$A:$E,5,0)</f>
        <v>Oui</v>
      </c>
    </row>
    <row r="873" spans="1:52" ht="15" customHeight="1">
      <c r="A873" s="706" t="s">
        <v>1147</v>
      </c>
      <c r="B873" s="706">
        <v>2025</v>
      </c>
      <c r="C873" s="706" t="s">
        <v>3033</v>
      </c>
      <c r="D873" s="706" t="s">
        <v>3034</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G808</v>
      </c>
      <c r="AK873" s="905" t="str">
        <f t="shared" si="90"/>
        <v>REVENU FINANCEMENT USAGES</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G808</v>
      </c>
      <c r="AU873" s="488" t="str">
        <f t="shared" si="93"/>
        <v>REVENU FINANCEMENT USAGES</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hidden="1" customHeight="1">
      <c r="A874" s="706" t="s">
        <v>1147</v>
      </c>
      <c r="B874" s="706">
        <v>2025</v>
      </c>
      <c r="C874" s="706" t="s">
        <v>3035</v>
      </c>
      <c r="D874" s="706" t="s">
        <v>3036</v>
      </c>
      <c r="E874" s="706" t="s">
        <v>333</v>
      </c>
      <c r="F874" s="706" t="s">
        <v>1149</v>
      </c>
      <c r="G874" s="706">
        <v>840.52</v>
      </c>
      <c r="H874" s="706">
        <v>3035.78</v>
      </c>
      <c r="I874" s="706">
        <v>2850.48</v>
      </c>
      <c r="J874" s="706">
        <v>3938.48</v>
      </c>
      <c r="K874" s="706">
        <v>7440.39</v>
      </c>
      <c r="L874" s="706">
        <v>11500.87</v>
      </c>
      <c r="M874" s="706">
        <v>17374.86</v>
      </c>
      <c r="N874" s="706">
        <v>24704.34</v>
      </c>
      <c r="O874" s="706">
        <v>29346.73</v>
      </c>
      <c r="P874" s="706">
        <v>34264.61</v>
      </c>
      <c r="Q874" s="706">
        <v>34264.61</v>
      </c>
      <c r="R874" s="706">
        <v>36446.720000000001</v>
      </c>
      <c r="S874" s="706">
        <v>3114.96</v>
      </c>
      <c r="T874" s="706">
        <v>3114.96</v>
      </c>
      <c r="U874" s="706">
        <v>0</v>
      </c>
      <c r="V874" s="706">
        <v>1</v>
      </c>
      <c r="W874" s="706">
        <v>2</v>
      </c>
      <c r="X874" s="706">
        <v>5</v>
      </c>
      <c r="Y874" s="706">
        <v>6</v>
      </c>
      <c r="Z874" s="706">
        <v>12</v>
      </c>
      <c r="AA874" s="706">
        <v>14</v>
      </c>
      <c r="AB874" s="706">
        <v>20</v>
      </c>
      <c r="AC874" s="706">
        <v>30</v>
      </c>
      <c r="AD874" s="706">
        <v>34</v>
      </c>
      <c r="AE874" s="706">
        <v>39</v>
      </c>
      <c r="AF874" s="706">
        <v>39</v>
      </c>
      <c r="AG874" s="706">
        <v>42</v>
      </c>
      <c r="AH874" s="706">
        <v>4</v>
      </c>
      <c r="AI874" s="706">
        <v>4</v>
      </c>
      <c r="AJ874" s="905" t="str">
        <f t="shared" si="89"/>
        <v>G80800</v>
      </c>
      <c r="AK874" s="905" t="str">
        <f t="shared" si="90"/>
        <v>REVENUS FINANCE VEH.USAGE</v>
      </c>
      <c r="AL874" s="905">
        <f>IFERROR(INDEX(G874:R874,1,MATCH(Parametres!$B$3,G$1:R$1,0)-1)*IF(OR(F874="L",F874="S",F874="I"),-1,1),"")</f>
        <v>-34264.61</v>
      </c>
      <c r="AM874" s="905">
        <f t="shared" si="91"/>
        <v>-2182.1100000000006</v>
      </c>
      <c r="AN874" s="905">
        <f>INDEX(G874:R874,1,MATCH(Parametres!$B$3,G$1:R$1,0))*IF(OR(F874="L",F874="S",F874="I"),-1,1)</f>
        <v>-36446.720000000001</v>
      </c>
      <c r="AO874" s="487" t="str">
        <f>+VLOOKUP($AJ874,Data_Validation!$A:$D,1,0)</f>
        <v>G80800</v>
      </c>
      <c r="AP874" s="487" t="str">
        <f>+VLOOKUP($AJ874,Data_Validation!$A:$D,3,0)</f>
        <v>Véhicules usagés</v>
      </c>
      <c r="AQ874" s="487" t="str">
        <f>+VLOOKUP($AJ874,Data_Validation!$A:$D,4,0)</f>
        <v>Rev. Finances</v>
      </c>
      <c r="AR874" s="487" t="s">
        <v>299</v>
      </c>
      <c r="AS874" s="487" t="str">
        <f>+VLOOKUP($AJ874,Data_Validation!$A:$E,5,0)</f>
        <v>Oui</v>
      </c>
      <c r="AT874" s="904" t="str">
        <f t="shared" si="92"/>
        <v>G80800</v>
      </c>
      <c r="AU874" s="488" t="str">
        <f t="shared" si="93"/>
        <v>REVENUS FINANCE VEH.USAGE</v>
      </c>
      <c r="AV874" s="899">
        <f>IFERROR(INDEX(V874:AG874,1,MATCH(Parametres!$B$3,V$1:AG$1,0)-1)*IF(OR(C874="L",C874="S",C874="I"),-1,1),"")</f>
        <v>39</v>
      </c>
      <c r="AW874" s="899">
        <f t="shared" si="94"/>
        <v>3</v>
      </c>
      <c r="AX874" s="899">
        <f>INDEX(V874:AG874,1,MATCH(Parametres!$B$3,V$1:AG$1,0))*IF(OR(C874="L",C874="S",C874="I"),-1,1)</f>
        <v>42</v>
      </c>
      <c r="AY874" s="487" t="s">
        <v>337</v>
      </c>
      <c r="AZ874" s="487" t="str">
        <f>+VLOOKUP($AJ874,Data_Validation!$A:$E,5,0)</f>
        <v>Oui</v>
      </c>
    </row>
    <row r="875" spans="1:52" ht="15" customHeight="1">
      <c r="A875" s="706" t="s">
        <v>1147</v>
      </c>
      <c r="B875" s="706">
        <v>2025</v>
      </c>
      <c r="C875" s="706" t="s">
        <v>3037</v>
      </c>
      <c r="D875" s="706" t="s">
        <v>3038</v>
      </c>
      <c r="E875" s="706" t="s">
        <v>333</v>
      </c>
      <c r="F875" s="706" t="s">
        <v>1149</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G809</v>
      </c>
      <c r="AK875" s="905" t="str">
        <f t="shared" si="90"/>
        <v>COMM/ASSURANCE USAGES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G809</v>
      </c>
      <c r="AU875" s="488" t="str">
        <f t="shared" si="93"/>
        <v>COMM/ASSURANCE USAGES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hidden="1" customHeight="1">
      <c r="A876" s="706" t="s">
        <v>1147</v>
      </c>
      <c r="B876" s="706">
        <v>2025</v>
      </c>
      <c r="C876" s="706" t="s">
        <v>3039</v>
      </c>
      <c r="D876" s="706" t="s">
        <v>3040</v>
      </c>
      <c r="E876" s="706" t="s">
        <v>333</v>
      </c>
      <c r="F876" s="706" t="s">
        <v>1149</v>
      </c>
      <c r="G876" s="706">
        <v>0</v>
      </c>
      <c r="H876" s="706">
        <v>0</v>
      </c>
      <c r="I876" s="706">
        <v>762.02</v>
      </c>
      <c r="J876" s="706">
        <v>762.02</v>
      </c>
      <c r="K876" s="706">
        <v>762.02</v>
      </c>
      <c r="L876" s="706">
        <v>762.02</v>
      </c>
      <c r="M876" s="706">
        <v>762.02</v>
      </c>
      <c r="N876" s="706">
        <v>1153.73</v>
      </c>
      <c r="O876" s="706">
        <v>1153.73</v>
      </c>
      <c r="P876" s="706">
        <v>2378.46</v>
      </c>
      <c r="Q876" s="706">
        <v>2378.46</v>
      </c>
      <c r="R876" s="706">
        <v>3688.8</v>
      </c>
      <c r="S876" s="706">
        <v>216.22</v>
      </c>
      <c r="T876" s="706">
        <v>216.22</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G80900</v>
      </c>
      <c r="AK876" s="905" t="str">
        <f t="shared" si="90"/>
        <v>REV. ASS-VIE INVAL. USAGE</v>
      </c>
      <c r="AL876" s="905">
        <f>IFERROR(INDEX(G876:R876,1,MATCH(Parametres!$B$3,G$1:R$1,0)-1)*IF(OR(F876="L",F876="S",F876="I"),-1,1),"")</f>
        <v>-2378.46</v>
      </c>
      <c r="AM876" s="905">
        <f t="shared" si="91"/>
        <v>-1310.3400000000001</v>
      </c>
      <c r="AN876" s="905">
        <f>INDEX(G876:R876,1,MATCH(Parametres!$B$3,G$1:R$1,0))*IF(OR(F876="L",F876="S",F876="I"),-1,1)</f>
        <v>-3688.8</v>
      </c>
      <c r="AO876" s="487" t="str">
        <f>+VLOOKUP($AJ876,Data_Validation!$A:$D,1,0)</f>
        <v>G80900</v>
      </c>
      <c r="AP876" s="487" t="str">
        <f>+VLOOKUP($AJ876,Data_Validation!$A:$D,3,0)</f>
        <v>Véhicules usagés</v>
      </c>
      <c r="AQ876" s="487" t="str">
        <f>+VLOOKUP($AJ876,Data_Validation!$A:$D,4,0)</f>
        <v>Rev. Protections</v>
      </c>
      <c r="AR876" s="487" t="s">
        <v>299</v>
      </c>
      <c r="AS876" s="487" t="str">
        <f>+VLOOKUP($AJ876,Data_Validation!$A:$E,5,0)</f>
        <v>Oui</v>
      </c>
      <c r="AT876" s="904" t="str">
        <f t="shared" si="92"/>
        <v>G80900</v>
      </c>
      <c r="AU876" s="488" t="str">
        <f t="shared" si="93"/>
        <v>REV. ASS-VIE INVAL. USAGE</v>
      </c>
      <c r="AV876" s="899">
        <f>IFERROR(INDEX(V876:AG876,1,MATCH(Parametres!$B$3,V$1:AG$1,0)-1)*IF(OR(C876="L",C876="S",C876="I"),-1,1),"")</f>
        <v>0</v>
      </c>
      <c r="AW876" s="899">
        <f t="shared" si="94"/>
        <v>0</v>
      </c>
      <c r="AX876" s="899">
        <f>INDEX(V876:AG876,1,MATCH(Parametres!$B$3,V$1:AG$1,0))*IF(OR(C876="L",C876="S",C876="I"),-1,1)</f>
        <v>0</v>
      </c>
      <c r="AY876" s="487" t="s">
        <v>337</v>
      </c>
      <c r="AZ876" s="487" t="str">
        <f>+VLOOKUP($AJ876,Data_Validation!$A:$E,5,0)</f>
        <v>Oui</v>
      </c>
    </row>
    <row r="877" spans="1:52" ht="15" customHeight="1">
      <c r="A877" s="706" t="s">
        <v>1147</v>
      </c>
      <c r="B877" s="706">
        <v>2025</v>
      </c>
      <c r="C877" s="706" t="s">
        <v>3041</v>
      </c>
      <c r="D877" s="706" t="s">
        <v>3042</v>
      </c>
      <c r="E877" s="706" t="s">
        <v>333</v>
      </c>
      <c r="F877" s="706" t="s">
        <v>1148</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G810</v>
      </c>
      <c r="AK877" s="905" t="str">
        <f t="shared" si="90"/>
        <v>VTES-ACCESSOIRES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G810</v>
      </c>
      <c r="AU877" s="488" t="str">
        <f t="shared" si="93"/>
        <v>VTES-ACCESSOIRES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1147</v>
      </c>
      <c r="B878" s="706">
        <v>2025</v>
      </c>
      <c r="C878" s="706" t="s">
        <v>3043</v>
      </c>
      <c r="D878" s="706" t="s">
        <v>3044</v>
      </c>
      <c r="E878" s="706" t="s">
        <v>333</v>
      </c>
      <c r="F878" s="706" t="s">
        <v>1151</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G810C</v>
      </c>
      <c r="AK878" s="905" t="str">
        <f t="shared" si="90"/>
        <v>COUT-ACCESSOIRES NEUF</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G810C</v>
      </c>
      <c r="AU878" s="488" t="str">
        <f t="shared" si="93"/>
        <v>COUT-ACCESSOIRES NEUF</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1147</v>
      </c>
      <c r="B879" s="706">
        <v>2025</v>
      </c>
      <c r="C879" s="706" t="s">
        <v>3045</v>
      </c>
      <c r="D879" s="706" t="s">
        <v>3046</v>
      </c>
      <c r="E879" s="706" t="s">
        <v>333</v>
      </c>
      <c r="F879" s="706" t="s">
        <v>1148</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G811</v>
      </c>
      <c r="AK879" s="905" t="str">
        <f t="shared" si="90"/>
        <v>VTES-ACCESSOIRES USAGE</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G811</v>
      </c>
      <c r="AU879" s="488" t="str">
        <f t="shared" si="93"/>
        <v>VTES-ACCESSOIRES USAGE</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1147</v>
      </c>
      <c r="B880" s="706">
        <v>2025</v>
      </c>
      <c r="C880" s="706" t="s">
        <v>3047</v>
      </c>
      <c r="D880" s="706" t="s">
        <v>3048</v>
      </c>
      <c r="E880" s="706" t="s">
        <v>333</v>
      </c>
      <c r="F880" s="706" t="s">
        <v>1151</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G811C</v>
      </c>
      <c r="AK880" s="905" t="str">
        <f t="shared" si="90"/>
        <v>COUT-ACCESSOIRES USAGE</v>
      </c>
      <c r="AL880" s="905">
        <f>IFERROR(INDEX(G880:R880,1,MATCH(Parametres!$B$3,G$1:R$1,0)-1)*IF(OR(F880="L",F880="S",F880="I"),-1,1),"")</f>
        <v>0</v>
      </c>
      <c r="AM880" s="905">
        <f t="shared" si="9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t="str">
        <f t="shared" si="92"/>
        <v>G811C</v>
      </c>
      <c r="AU880" s="488" t="str">
        <f t="shared" si="93"/>
        <v>COUT-ACCESSOIRES USAGE</v>
      </c>
      <c r="AV880" s="899">
        <f>IFERROR(INDEX(V880:AG880,1,MATCH(Parametres!$B$3,V$1:AG$1,0)-1)*IF(OR(C880="L",C880="S",C880="I"),-1,1),"")</f>
        <v>0</v>
      </c>
      <c r="AW880" s="899">
        <f t="shared" si="94"/>
        <v>0</v>
      </c>
      <c r="AX880" s="899">
        <f>INDEX(V880:AG880,1,MATCH(Parametres!$B$3,V$1:AG$1,0))*IF(OR(C880="L",C880="S",C880="I"),-1,1)</f>
        <v>0</v>
      </c>
      <c r="AY880" s="487" t="s">
        <v>337</v>
      </c>
      <c r="AZ880" s="487" t="e">
        <f>+VLOOKUP($AJ880,Data_Validation!$A:$E,5,0)</f>
        <v>#N/A</v>
      </c>
    </row>
    <row r="881" spans="1:52" ht="15" customHeight="1">
      <c r="A881" s="706" t="s">
        <v>1147</v>
      </c>
      <c r="B881" s="706">
        <v>2025</v>
      </c>
      <c r="C881" s="706" t="s">
        <v>3049</v>
      </c>
      <c r="D881" s="706" t="s">
        <v>3050</v>
      </c>
      <c r="E881" s="706" t="s">
        <v>333</v>
      </c>
      <c r="F881" s="706" t="s">
        <v>1149</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G82200</v>
      </c>
      <c r="AK881" s="905" t="str">
        <f t="shared" si="90"/>
        <v>AUTRES REVENUS VEH. NEUFS</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G82200</v>
      </c>
      <c r="AU881" s="488" t="str">
        <f t="shared" si="93"/>
        <v>AUTRES REVENUS VEH. NEUFS</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1147</v>
      </c>
      <c r="B882" s="706">
        <v>2025</v>
      </c>
      <c r="C882" s="706" t="s">
        <v>3051</v>
      </c>
      <c r="D882" s="706" t="s">
        <v>3052</v>
      </c>
      <c r="E882" s="706" t="s">
        <v>333</v>
      </c>
      <c r="F882" s="706" t="s">
        <v>1149</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G82300</v>
      </c>
      <c r="AK882" s="905" t="str">
        <f t="shared" si="90"/>
        <v>AUTRES REVENUS VEH.USAGÉS</v>
      </c>
      <c r="AL882" s="905">
        <f>IFERROR(INDEX(G882:R882,1,MATCH(Parametres!$B$3,G$1:R$1,0)-1)*IF(OR(F882="L",F882="S",F882="I"),-1,1),"")</f>
        <v>0</v>
      </c>
      <c r="AM882" s="905">
        <f t="shared" si="9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t="str">
        <f t="shared" si="92"/>
        <v>G82300</v>
      </c>
      <c r="AU882" s="488" t="str">
        <f t="shared" si="93"/>
        <v>AUTRES REVENUS VEH.USAGÉS</v>
      </c>
      <c r="AV882" s="899">
        <f>IFERROR(INDEX(V882:AG882,1,MATCH(Parametres!$B$3,V$1:AG$1,0)-1)*IF(OR(C882="L",C882="S",C882="I"),-1,1),"")</f>
        <v>0</v>
      </c>
      <c r="AW882" s="899">
        <f t="shared" si="94"/>
        <v>0</v>
      </c>
      <c r="AX882" s="899">
        <f>INDEX(V882:AG882,1,MATCH(Parametres!$B$3,V$1:AG$1,0))*IF(OR(C882="L",C882="S",C882="I"),-1,1)</f>
        <v>0</v>
      </c>
      <c r="AY882" s="487" t="s">
        <v>337</v>
      </c>
      <c r="AZ882" s="487" t="e">
        <f>+VLOOKUP($AJ882,Data_Validation!$A:$E,5,0)</f>
        <v>#N/A</v>
      </c>
    </row>
    <row r="883" spans="1:52" ht="15" customHeight="1">
      <c r="A883" s="706" t="s">
        <v>1147</v>
      </c>
      <c r="B883" s="706">
        <v>2025</v>
      </c>
      <c r="C883" s="706" t="s">
        <v>3053</v>
      </c>
      <c r="D883" s="706" t="s">
        <v>3054</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G850</v>
      </c>
      <c r="AK883" s="905" t="str">
        <f t="shared" si="90"/>
        <v>RETROFACTURATION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G850</v>
      </c>
      <c r="AU883" s="488" t="str">
        <f t="shared" si="93"/>
        <v>RETROFACTURATION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customHeight="1">
      <c r="A884" s="706" t="s">
        <v>1147</v>
      </c>
      <c r="B884" s="706">
        <v>2025</v>
      </c>
      <c r="C884" s="706" t="s">
        <v>3055</v>
      </c>
      <c r="D884" s="706" t="s">
        <v>3056</v>
      </c>
      <c r="E884" s="706" t="s">
        <v>333</v>
      </c>
      <c r="F884" s="706" t="s">
        <v>1104</v>
      </c>
      <c r="G884" s="706">
        <v>0</v>
      </c>
      <c r="H884" s="706">
        <v>0</v>
      </c>
      <c r="I884" s="706">
        <v>0</v>
      </c>
      <c r="J884" s="706">
        <v>0</v>
      </c>
      <c r="K884" s="706">
        <v>0</v>
      </c>
      <c r="L884" s="706">
        <v>0</v>
      </c>
      <c r="M884" s="706">
        <v>0</v>
      </c>
      <c r="N884" s="706">
        <v>0</v>
      </c>
      <c r="O884" s="706">
        <v>0</v>
      </c>
      <c r="P884" s="706">
        <v>0</v>
      </c>
      <c r="Q884" s="706">
        <v>0</v>
      </c>
      <c r="R884" s="706">
        <v>0</v>
      </c>
      <c r="S884" s="706">
        <v>0</v>
      </c>
      <c r="T884" s="706">
        <v>0</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G851</v>
      </c>
      <c r="AK884" s="905" t="str">
        <f t="shared" si="90"/>
        <v>RETROFACTURATION F&amp;A USAG</v>
      </c>
      <c r="AL884" s="905">
        <f>IFERROR(INDEX(G884:R884,1,MATCH(Parametres!$B$3,G$1:R$1,0)-1)*IF(OR(F884="L",F884="S",F884="I"),-1,1),"")</f>
        <v>0</v>
      </c>
      <c r="AM884" s="905">
        <f t="shared" si="9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t="str">
        <f t="shared" si="92"/>
        <v>G851</v>
      </c>
      <c r="AU884" s="488" t="str">
        <f t="shared" si="93"/>
        <v>RETROFACTURATION F&amp;A USAG</v>
      </c>
      <c r="AV884" s="899">
        <f>IFERROR(INDEX(V884:AG884,1,MATCH(Parametres!$B$3,V$1:AG$1,0)-1)*IF(OR(C884="L",C884="S",C884="I"),-1,1),"")</f>
        <v>0</v>
      </c>
      <c r="AW884" s="899">
        <f t="shared" si="94"/>
        <v>0</v>
      </c>
      <c r="AX884" s="899">
        <f>INDEX(V884:AG884,1,MATCH(Parametres!$B$3,V$1:AG$1,0))*IF(OR(C884="L",C884="S",C884="I"),-1,1)</f>
        <v>0</v>
      </c>
      <c r="AY884" s="487" t="s">
        <v>337</v>
      </c>
      <c r="AZ884" s="487" t="e">
        <f>+VLOOKUP($AJ884,Data_Validation!$A:$E,5,0)</f>
        <v>#N/A</v>
      </c>
    </row>
    <row r="885" spans="1:52" ht="15" customHeight="1">
      <c r="A885" s="706" t="s">
        <v>1147</v>
      </c>
      <c r="B885" s="706">
        <v>2025</v>
      </c>
      <c r="C885" s="706" t="s">
        <v>3057</v>
      </c>
      <c r="D885" s="706" t="s">
        <v>3058</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G853</v>
      </c>
      <c r="AK885" s="905" t="str">
        <f t="shared" si="90"/>
        <v>PERTE REPOSSESSION NEUF</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G853</v>
      </c>
      <c r="AU885" s="488" t="str">
        <f t="shared" si="93"/>
        <v>PERTE REPOSSESSION NEUF</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customHeight="1">
      <c r="A886" s="706" t="s">
        <v>1147</v>
      </c>
      <c r="B886" s="706">
        <v>2025</v>
      </c>
      <c r="C886" s="706" t="s">
        <v>3059</v>
      </c>
      <c r="D886" s="706" t="s">
        <v>3058</v>
      </c>
      <c r="E886" s="706" t="s">
        <v>333</v>
      </c>
      <c r="F886" s="706" t="s">
        <v>1104</v>
      </c>
      <c r="G886" s="706">
        <v>0</v>
      </c>
      <c r="H886" s="706">
        <v>0</v>
      </c>
      <c r="I886" s="706">
        <v>0</v>
      </c>
      <c r="J886" s="706">
        <v>0</v>
      </c>
      <c r="K886" s="706">
        <v>0</v>
      </c>
      <c r="L886" s="706">
        <v>0</v>
      </c>
      <c r="M886" s="706">
        <v>0</v>
      </c>
      <c r="N886" s="706">
        <v>0</v>
      </c>
      <c r="O886" s="706">
        <v>0</v>
      </c>
      <c r="P886" s="706">
        <v>0</v>
      </c>
      <c r="Q886" s="706">
        <v>0</v>
      </c>
      <c r="R886" s="706">
        <v>0</v>
      </c>
      <c r="S886" s="706">
        <v>0</v>
      </c>
      <c r="T886" s="706">
        <v>0</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G85300</v>
      </c>
      <c r="AK886" s="905" t="str">
        <f t="shared" si="90"/>
        <v>PERTE REPOSSESSION NEUF</v>
      </c>
      <c r="AL886" s="905">
        <f>IFERROR(INDEX(G886:R886,1,MATCH(Parametres!$B$3,G$1:R$1,0)-1)*IF(OR(F886="L",F886="S",F886="I"),-1,1),"")</f>
        <v>0</v>
      </c>
      <c r="AM886" s="905">
        <f t="shared" si="91"/>
        <v>0</v>
      </c>
      <c r="AN886" s="905">
        <f>INDEX(G886:R886,1,MATCH(Parametres!$B$3,G$1:R$1,0))*IF(OR(F886="L",F886="S",F886="I"),-1,1)</f>
        <v>0</v>
      </c>
      <c r="AO886" s="487" t="str">
        <f>+VLOOKUP($AJ886,Data_Validation!$A:$D,1,0)</f>
        <v>G85300</v>
      </c>
      <c r="AP886" s="487">
        <f>+VLOOKUP($AJ886,Data_Validation!$A:$D,3,0)</f>
        <v>0</v>
      </c>
      <c r="AQ886" s="487">
        <f>+VLOOKUP($AJ886,Data_Validation!$A:$D,4,0)</f>
        <v>0</v>
      </c>
      <c r="AR886" s="487" t="s">
        <v>299</v>
      </c>
      <c r="AS886" s="487">
        <f>+VLOOKUP($AJ886,Data_Validation!$A:$E,5,0)</f>
        <v>0</v>
      </c>
      <c r="AT886" s="904" t="str">
        <f t="shared" si="92"/>
        <v>G85300</v>
      </c>
      <c r="AU886" s="488" t="str">
        <f t="shared" si="93"/>
        <v>PERTE REPOSSESSION NEUF</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1147</v>
      </c>
      <c r="B887" s="706">
        <v>2025</v>
      </c>
      <c r="C887" s="706" t="s">
        <v>3060</v>
      </c>
      <c r="D887" s="706" t="s">
        <v>3061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G854</v>
      </c>
      <c r="AK887" s="905" t="str">
        <f t="shared" si="90"/>
        <v>PERTE REPOSSESSION USAG</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G854</v>
      </c>
      <c r="AU887" s="488" t="str">
        <f t="shared" si="93"/>
        <v>PERTE REPOSSESSION USAG</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1147</v>
      </c>
      <c r="B888" s="706">
        <v>2025</v>
      </c>
      <c r="C888" s="706" t="s">
        <v>3062</v>
      </c>
      <c r="D888" s="706" t="s">
        <v>3063</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G85400</v>
      </c>
      <c r="AK888" s="905" t="str">
        <f t="shared" si="90"/>
        <v>PERTE REPOSSESSION USAGE</v>
      </c>
      <c r="AL888" s="905">
        <f>IFERROR(INDEX(G888:R888,1,MATCH(Parametres!$B$3,G$1:R$1,0)-1)*IF(OR(F888="L",F888="S",F888="I"),-1,1),"")</f>
        <v>0</v>
      </c>
      <c r="AM888" s="905">
        <f t="shared" si="91"/>
        <v>0</v>
      </c>
      <c r="AN888" s="905">
        <f>INDEX(G888:R888,1,MATCH(Parametres!$B$3,G$1:R$1,0))*IF(OR(F888="L",F888="S",F888="I"),-1,1)</f>
        <v>0</v>
      </c>
      <c r="AO888" s="487" t="str">
        <f>+VLOOKUP($AJ888,Data_Validation!$A:$D,1,0)</f>
        <v>G85400</v>
      </c>
      <c r="AP888" s="487">
        <f>+VLOOKUP($AJ888,Data_Validation!$A:$D,3,0)</f>
        <v>0</v>
      </c>
      <c r="AQ888" s="487">
        <f>+VLOOKUP($AJ888,Data_Validation!$A:$D,4,0)</f>
        <v>0</v>
      </c>
      <c r="AR888" s="487" t="s">
        <v>299</v>
      </c>
      <c r="AS888" s="487">
        <f>+VLOOKUP($AJ888,Data_Validation!$A:$E,5,0)</f>
        <v>0</v>
      </c>
      <c r="AT888" s="904" t="str">
        <f t="shared" si="92"/>
        <v>G85400</v>
      </c>
      <c r="AU888" s="488" t="str">
        <f t="shared" si="93"/>
        <v>PERTE REPOSSESSION USAGE</v>
      </c>
      <c r="AV888" s="899">
        <f>IFERROR(INDEX(V888:AG888,1,MATCH(Parametres!$B$3,V$1:AG$1,0)-1)*IF(OR(C888="L",C888="S",C888="I"),-1,1),"")</f>
        <v>0</v>
      </c>
      <c r="AW888" s="899">
        <f t="shared" si="94"/>
        <v>0</v>
      </c>
      <c r="AX888" s="899">
        <f>INDEX(V888:AG888,1,MATCH(Parametres!$B$3,V$1:AG$1,0))*IF(OR(C888="L",C888="S",C888="I"),-1,1)</f>
        <v>0</v>
      </c>
      <c r="AY888" s="487" t="s">
        <v>337</v>
      </c>
      <c r="AZ888" s="487">
        <f>+VLOOKUP($AJ888,Data_Validation!$A:$E,5,0)</f>
        <v>0</v>
      </c>
    </row>
    <row r="889" spans="1:52" ht="15" customHeight="1">
      <c r="A889" s="706" t="s">
        <v>1147</v>
      </c>
      <c r="B889" s="706">
        <v>2025</v>
      </c>
      <c r="C889" s="706" t="s">
        <v>3064</v>
      </c>
      <c r="D889" s="706" t="s">
        <v>3065</v>
      </c>
      <c r="E889" s="706" t="s">
        <v>333</v>
      </c>
      <c r="F889" s="706" t="s">
        <v>1104</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G855</v>
      </c>
      <c r="AK889" s="905" t="str">
        <f t="shared" si="90"/>
        <v>REMUNERATION F&amp;A NEUF</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G855</v>
      </c>
      <c r="AU889" s="488" t="str">
        <f t="shared" si="93"/>
        <v>REMUNERATION F&amp;A NEUF</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hidden="1" customHeight="1">
      <c r="A890" s="706" t="s">
        <v>1147</v>
      </c>
      <c r="B890" s="706">
        <v>2025</v>
      </c>
      <c r="C890" s="706" t="s">
        <v>3066</v>
      </c>
      <c r="D890" s="706" t="s">
        <v>3067</v>
      </c>
      <c r="E890" s="706" t="s">
        <v>333</v>
      </c>
      <c r="F890" s="706" t="s">
        <v>1104</v>
      </c>
      <c r="G890" s="706">
        <v>14513.14</v>
      </c>
      <c r="H890" s="706">
        <v>26681.82</v>
      </c>
      <c r="I890" s="706">
        <v>41392.67</v>
      </c>
      <c r="J890" s="706">
        <v>51290.28</v>
      </c>
      <c r="K890" s="706">
        <v>60180.22</v>
      </c>
      <c r="L890" s="706">
        <v>75619.179999999993</v>
      </c>
      <c r="M890" s="706">
        <v>87668.55</v>
      </c>
      <c r="N890" s="706">
        <v>105699.01</v>
      </c>
      <c r="O890" s="706">
        <v>122702.1</v>
      </c>
      <c r="P890" s="706">
        <v>131431.07</v>
      </c>
      <c r="Q890" s="706">
        <v>144298.65</v>
      </c>
      <c r="R890" s="706">
        <v>156349.24</v>
      </c>
      <c r="S890" s="706">
        <v>13118.06</v>
      </c>
      <c r="T890" s="706">
        <v>13118.06</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G85500</v>
      </c>
      <c r="AK890" s="905" t="str">
        <f t="shared" si="90"/>
        <v>REMUNERATION F&amp;I NEUF</v>
      </c>
      <c r="AL890" s="905">
        <f>IFERROR(INDEX(G890:R890,1,MATCH(Parametres!$B$3,G$1:R$1,0)-1)*IF(OR(F890="L",F890="S",F890="I"),-1,1),"")</f>
        <v>144298.65</v>
      </c>
      <c r="AM890" s="905">
        <f t="shared" si="91"/>
        <v>12050.589999999997</v>
      </c>
      <c r="AN890" s="905">
        <f>INDEX(G890:R890,1,MATCH(Parametres!$B$3,G$1:R$1,0))*IF(OR(F890="L",F890="S",F890="I"),-1,1)</f>
        <v>156349.24</v>
      </c>
      <c r="AO890" s="487" t="str">
        <f>+VLOOKUP($AJ890,Data_Validation!$A:$D,1,0)</f>
        <v>G85500</v>
      </c>
      <c r="AP890" s="487" t="str">
        <f>+VLOOKUP($AJ890,Data_Validation!$A:$D,3,0)</f>
        <v>Véhicules neufs</v>
      </c>
      <c r="AQ890" s="487" t="str">
        <f>+VLOOKUP($AJ890,Data_Validation!$A:$D,4,0)</f>
        <v>Comm. F&amp;I</v>
      </c>
      <c r="AR890" s="487" t="s">
        <v>299</v>
      </c>
      <c r="AS890" s="487">
        <f>+VLOOKUP($AJ890,Data_Validation!$A:$E,5,0)</f>
        <v>0</v>
      </c>
      <c r="AT890" s="904" t="str">
        <f t="shared" si="92"/>
        <v>G85500</v>
      </c>
      <c r="AU890" s="488" t="str">
        <f t="shared" si="93"/>
        <v>REMUNERATION F&amp;I NEUF</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1147</v>
      </c>
      <c r="B891" s="706">
        <v>2025</v>
      </c>
      <c r="C891" s="706" t="s">
        <v>3068</v>
      </c>
      <c r="D891" s="706" t="s">
        <v>3069</v>
      </c>
      <c r="E891" s="706" t="s">
        <v>333</v>
      </c>
      <c r="F891" s="706" t="s">
        <v>1104</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G856</v>
      </c>
      <c r="AK891" s="905" t="str">
        <f t="shared" si="90"/>
        <v>REMUNERATION F&amp;A USAGE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G856</v>
      </c>
      <c r="AU891" s="488" t="str">
        <f t="shared" si="93"/>
        <v>REMUNERATION F&amp;A USAGE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hidden="1" customHeight="1">
      <c r="A892" s="706" t="s">
        <v>1147</v>
      </c>
      <c r="B892" s="706">
        <v>2025</v>
      </c>
      <c r="C892" s="706" t="s">
        <v>3070</v>
      </c>
      <c r="D892" s="706" t="s">
        <v>3071</v>
      </c>
      <c r="E892" s="706" t="s">
        <v>333</v>
      </c>
      <c r="F892" s="706" t="s">
        <v>1104</v>
      </c>
      <c r="G892" s="706">
        <v>2623.36</v>
      </c>
      <c r="H892" s="706">
        <v>4950.1899999999996</v>
      </c>
      <c r="I892" s="706">
        <v>9087.15</v>
      </c>
      <c r="J892" s="706">
        <v>11479.9</v>
      </c>
      <c r="K892" s="706">
        <v>12388.15</v>
      </c>
      <c r="L892" s="706">
        <v>12589.77</v>
      </c>
      <c r="M892" s="706">
        <v>14778.14</v>
      </c>
      <c r="N892" s="706">
        <v>17787.689999999999</v>
      </c>
      <c r="O892" s="706">
        <v>21963.919999999998</v>
      </c>
      <c r="P892" s="706">
        <v>26071.040000000001</v>
      </c>
      <c r="Q892" s="706">
        <v>26773.74</v>
      </c>
      <c r="R892" s="706">
        <v>33609.31</v>
      </c>
      <c r="S892" s="706">
        <v>2433.98</v>
      </c>
      <c r="T892" s="706">
        <v>2433.98</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G85600</v>
      </c>
      <c r="AK892" s="905" t="str">
        <f t="shared" si="90"/>
        <v>REMUNERATION F&amp;I USAGE</v>
      </c>
      <c r="AL892" s="905">
        <f>IFERROR(INDEX(G892:R892,1,MATCH(Parametres!$B$3,G$1:R$1,0)-1)*IF(OR(F892="L",F892="S",F892="I"),-1,1),"")</f>
        <v>26773.74</v>
      </c>
      <c r="AM892" s="905">
        <f t="shared" si="91"/>
        <v>6835.5699999999961</v>
      </c>
      <c r="AN892" s="905">
        <f>INDEX(G892:R892,1,MATCH(Parametres!$B$3,G$1:R$1,0))*IF(OR(F892="L",F892="S",F892="I"),-1,1)</f>
        <v>33609.31</v>
      </c>
      <c r="AO892" s="487" t="str">
        <f>+VLOOKUP($AJ892,Data_Validation!$A:$D,1,0)</f>
        <v>G85600</v>
      </c>
      <c r="AP892" s="487" t="str">
        <f>+VLOOKUP($AJ892,Data_Validation!$A:$D,3,0)</f>
        <v>Véhicules usagés</v>
      </c>
      <c r="AQ892" s="487" t="str">
        <f>+VLOOKUP($AJ892,Data_Validation!$A:$D,4,0)</f>
        <v>Comm. F&amp;I</v>
      </c>
      <c r="AR892" s="487" t="s">
        <v>299</v>
      </c>
      <c r="AS892" s="487">
        <f>+VLOOKUP($AJ892,Data_Validation!$A:$E,5,0)</f>
        <v>0</v>
      </c>
      <c r="AT892" s="904" t="str">
        <f t="shared" si="92"/>
        <v>G85600</v>
      </c>
      <c r="AU892" s="488" t="str">
        <f t="shared" si="93"/>
        <v>REMUNERATION F&amp;I USAGE</v>
      </c>
      <c r="AV892" s="899">
        <f>IFERROR(INDEX(V892:AG892,1,MATCH(Parametres!$B$3,V$1:AG$1,0)-1)*IF(OR(C892="L",C892="S",C892="I"),-1,1),"")</f>
        <v>0</v>
      </c>
      <c r="AW892" s="899">
        <f t="shared" si="94"/>
        <v>0</v>
      </c>
      <c r="AX892" s="899">
        <f>INDEX(V892:AG892,1,MATCH(Parametres!$B$3,V$1:AG$1,0))*IF(OR(C892="L",C892="S",C892="I"),-1,1)</f>
        <v>0</v>
      </c>
      <c r="AY892" s="487" t="s">
        <v>337</v>
      </c>
      <c r="AZ892" s="487">
        <f>+VLOOKUP($AJ892,Data_Validation!$A:$E,5,0)</f>
        <v>0</v>
      </c>
    </row>
    <row r="893" spans="1:52" ht="15" customHeight="1">
      <c r="A893" s="706" t="s">
        <v>1147</v>
      </c>
      <c r="B893" s="706">
        <v>2025</v>
      </c>
      <c r="C893" s="706" t="s">
        <v>3072</v>
      </c>
      <c r="D893" s="706" t="s">
        <v>3050</v>
      </c>
      <c r="E893" s="706" t="s">
        <v>333</v>
      </c>
      <c r="F893" s="706" t="s">
        <v>1104</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9"/>
        <v>G87200</v>
      </c>
      <c r="AK893" s="905" t="str">
        <f t="shared" si="90"/>
        <v>AUTRES REVENUS VEH. NEUFS</v>
      </c>
      <c r="AL893" s="905">
        <f>IFERROR(INDEX(G893:R893,1,MATCH(Parametres!$B$3,G$1:R$1,0)-1)*IF(OR(F893="L",F893="S",F893="I"),-1,1),"")</f>
        <v>0</v>
      </c>
      <c r="AM893" s="905">
        <f t="shared" si="91"/>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t="str">
        <f t="shared" si="92"/>
        <v>G87200</v>
      </c>
      <c r="AU893" s="488" t="str">
        <f t="shared" si="93"/>
        <v>AUTRES REVENUS VEH. NEUFS</v>
      </c>
      <c r="AV893" s="899">
        <f>IFERROR(INDEX(V893:AG893,1,MATCH(Parametres!$B$3,V$1:AG$1,0)-1)*IF(OR(C893="L",C893="S",C893="I"),-1,1),"")</f>
        <v>0</v>
      </c>
      <c r="AW893" s="899">
        <f t="shared" si="94"/>
        <v>0</v>
      </c>
      <c r="AX893" s="899">
        <f>INDEX(V893:AG893,1,MATCH(Parametres!$B$3,V$1:AG$1,0))*IF(OR(C893="L",C893="S",C893="I"),-1,1)</f>
        <v>0</v>
      </c>
      <c r="AY893" s="487" t="s">
        <v>337</v>
      </c>
      <c r="AZ893" s="487" t="e">
        <f>+VLOOKUP($AJ893,Data_Validation!$A:$E,5,0)</f>
        <v>#N/A</v>
      </c>
    </row>
    <row r="894" spans="1:52" ht="15" customHeight="1">
      <c r="A894" s="706" t="s">
        <v>1147</v>
      </c>
      <c r="B894" s="706">
        <v>2025</v>
      </c>
      <c r="C894" s="706" t="s">
        <v>3073</v>
      </c>
      <c r="D894" s="706" t="s">
        <v>3074</v>
      </c>
      <c r="E894" s="706" t="s">
        <v>333</v>
      </c>
      <c r="F894" s="706" t="s">
        <v>1104</v>
      </c>
      <c r="G894" s="706">
        <v>0</v>
      </c>
      <c r="H894" s="706">
        <v>0</v>
      </c>
      <c r="I894" s="706">
        <v>0</v>
      </c>
      <c r="J894" s="706">
        <v>0</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9"/>
        <v>G87300</v>
      </c>
      <c r="AK894" s="905" t="str">
        <f t="shared" si="90"/>
        <v>AUTRES REVENUS VEH.USAGES</v>
      </c>
      <c r="AL894" s="905">
        <f>IFERROR(INDEX(G894:R894,1,MATCH(Parametres!$B$3,G$1:R$1,0)-1)*IF(OR(F894="L",F894="S",F894="I"),-1,1),"")</f>
        <v>0</v>
      </c>
      <c r="AM894" s="905">
        <f t="shared" si="91"/>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t="str">
        <f t="shared" si="92"/>
        <v>G87300</v>
      </c>
      <c r="AU894" s="488" t="str">
        <f t="shared" si="93"/>
        <v>AUTRES REVENUS VEH.USAGES</v>
      </c>
      <c r="AV894" s="899">
        <f>IFERROR(INDEX(V894:AG894,1,MATCH(Parametres!$B$3,V$1:AG$1,0)-1)*IF(OR(C894="L",C894="S",C894="I"),-1,1),"")</f>
        <v>0</v>
      </c>
      <c r="AW894" s="899">
        <f t="shared" si="94"/>
        <v>0</v>
      </c>
      <c r="AX894" s="899">
        <f>INDEX(V894:AG894,1,MATCH(Parametres!$B$3,V$1:AG$1,0))*IF(OR(C894="L",C894="S",C894="I"),-1,1)</f>
        <v>0</v>
      </c>
      <c r="AY894" s="487" t="s">
        <v>337</v>
      </c>
      <c r="AZ894" s="487" t="e">
        <f>+VLOOKUP($AJ894,Data_Validation!$A:$E,5,0)</f>
        <v>#N/A</v>
      </c>
    </row>
    <row r="895" spans="1:52" ht="15" customHeight="1">
      <c r="A895" s="706" t="s">
        <v>1147</v>
      </c>
      <c r="B895" s="706">
        <v>2025</v>
      </c>
      <c r="C895" s="706" t="s">
        <v>3075</v>
      </c>
      <c r="D895" s="706" t="s">
        <v>1152</v>
      </c>
      <c r="E895" s="706" t="s">
        <v>333</v>
      </c>
      <c r="F895" s="706" t="s">
        <v>1149</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G902</v>
      </c>
      <c r="AK895" s="905" t="str">
        <f t="shared" si="90"/>
        <v>MAUVAISES CREANCES RECOUV</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G902</v>
      </c>
      <c r="AU895" s="488" t="str">
        <f t="shared" si="93"/>
        <v>MAUVAISES CREANCES RECOUV</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1147</v>
      </c>
      <c r="B896" s="706">
        <v>2025</v>
      </c>
      <c r="C896" s="706" t="s">
        <v>3076</v>
      </c>
      <c r="D896" s="706" t="s">
        <v>3077</v>
      </c>
      <c r="E896" s="706" t="s">
        <v>333</v>
      </c>
      <c r="F896" s="706" t="s">
        <v>1149</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G90200</v>
      </c>
      <c r="AK896" s="905" t="str">
        <f t="shared" si="90"/>
        <v>RENTREES CREANCES RADIEES</v>
      </c>
      <c r="AL896" s="905">
        <f>IFERROR(INDEX(G896:R896,1,MATCH(Parametres!$B$3,G$1:R$1,0)-1)*IF(OR(F896="L",F896="S",F896="I"),-1,1),"")</f>
        <v>0</v>
      </c>
      <c r="AM896" s="905">
        <f t="shared" si="91"/>
        <v>0</v>
      </c>
      <c r="AN896" s="905">
        <f>INDEX(G896:R896,1,MATCH(Parametres!$B$3,G$1:R$1,0))*IF(OR(F896="L",F896="S",F896="I"),-1,1)</f>
        <v>0</v>
      </c>
      <c r="AO896" s="487" t="str">
        <f>+VLOOKUP($AJ896,Data_Validation!$A:$D,1,0)</f>
        <v>G90200</v>
      </c>
      <c r="AP896" s="487">
        <f>+VLOOKUP($AJ896,Data_Validation!$A:$D,3,0)</f>
        <v>0</v>
      </c>
      <c r="AQ896" s="487">
        <f>+VLOOKUP($AJ896,Data_Validation!$A:$D,4,0)</f>
        <v>0</v>
      </c>
      <c r="AR896" s="487" t="s">
        <v>299</v>
      </c>
      <c r="AS896" s="487">
        <f>+VLOOKUP($AJ896,Data_Validation!$A:$E,5,0)</f>
        <v>0</v>
      </c>
      <c r="AT896" s="904" t="str">
        <f t="shared" si="92"/>
        <v>G90200</v>
      </c>
      <c r="AU896" s="488" t="str">
        <f t="shared" si="93"/>
        <v>RENTREES CREANCES RADIEES</v>
      </c>
      <c r="AV896" s="899">
        <f>IFERROR(INDEX(V896:AG896,1,MATCH(Parametres!$B$3,V$1:AG$1,0)-1)*IF(OR(C896="L",C896="S",C896="I"),-1,1),"")</f>
        <v>0</v>
      </c>
      <c r="AW896" s="899">
        <f t="shared" si="94"/>
        <v>0</v>
      </c>
      <c r="AX896" s="899">
        <f>INDEX(V896:AG896,1,MATCH(Parametres!$B$3,V$1:AG$1,0))*IF(OR(C896="L",C896="S",C896="I"),-1,1)</f>
        <v>0</v>
      </c>
      <c r="AY896" s="487" t="s">
        <v>337</v>
      </c>
      <c r="AZ896" s="487">
        <f>+VLOOKUP($AJ896,Data_Validation!$A:$E,5,0)</f>
        <v>0</v>
      </c>
    </row>
    <row r="897" spans="1:52" ht="15" customHeight="1">
      <c r="A897" s="706" t="s">
        <v>1147</v>
      </c>
      <c r="B897" s="706">
        <v>2025</v>
      </c>
      <c r="C897" s="706" t="s">
        <v>3078</v>
      </c>
      <c r="D897" s="706" t="s">
        <v>3079</v>
      </c>
      <c r="E897" s="706" t="s">
        <v>333</v>
      </c>
      <c r="F897" s="706" t="s">
        <v>1149</v>
      </c>
      <c r="G897" s="706">
        <v>0</v>
      </c>
      <c r="H897" s="706">
        <v>0</v>
      </c>
      <c r="I897" s="706">
        <v>0</v>
      </c>
      <c r="J897" s="706">
        <v>0</v>
      </c>
      <c r="K897" s="706">
        <v>0</v>
      </c>
      <c r="L897" s="706">
        <v>0</v>
      </c>
      <c r="M897" s="706">
        <v>0</v>
      </c>
      <c r="N897" s="706">
        <v>0</v>
      </c>
      <c r="O897" s="706">
        <v>0</v>
      </c>
      <c r="P897" s="706">
        <v>0</v>
      </c>
      <c r="Q897" s="706">
        <v>0</v>
      </c>
      <c r="R897" s="706">
        <v>0</v>
      </c>
      <c r="S897" s="706">
        <v>0</v>
      </c>
      <c r="T897" s="706">
        <v>0</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G903</v>
      </c>
      <c r="AK897" s="905" t="str">
        <f t="shared" si="90"/>
        <v>ESCOMPTE DE CAISSE GAGNE</v>
      </c>
      <c r="AL897" s="905">
        <f>IFERROR(INDEX(G897:R897,1,MATCH(Parametres!$B$3,G$1:R$1,0)-1)*IF(OR(F897="L",F897="S",F897="I"),-1,1),"")</f>
        <v>0</v>
      </c>
      <c r="AM897" s="905">
        <f t="shared" si="91"/>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t="str">
        <f t="shared" si="92"/>
        <v>G903</v>
      </c>
      <c r="AU897" s="488" t="str">
        <f t="shared" si="93"/>
        <v>ESCOMPTE DE CAISSE GAGNE</v>
      </c>
      <c r="AV897" s="899">
        <f>IFERROR(INDEX(V897:AG897,1,MATCH(Parametres!$B$3,V$1:AG$1,0)-1)*IF(OR(C897="L",C897="S",C897="I"),-1,1),"")</f>
        <v>0</v>
      </c>
      <c r="AW897" s="899">
        <f t="shared" si="94"/>
        <v>0</v>
      </c>
      <c r="AX897" s="899">
        <f>INDEX(V897:AG897,1,MATCH(Parametres!$B$3,V$1:AG$1,0))*IF(OR(C897="L",C897="S",C897="I"),-1,1)</f>
        <v>0</v>
      </c>
      <c r="AY897" s="487" t="s">
        <v>337</v>
      </c>
      <c r="AZ897" s="487" t="e">
        <f>+VLOOKUP($AJ897,Data_Validation!$A:$E,5,0)</f>
        <v>#N/A</v>
      </c>
    </row>
    <row r="898" spans="1:52" ht="15" customHeight="1">
      <c r="A898" s="706" t="s">
        <v>1147</v>
      </c>
      <c r="B898" s="706">
        <v>2025</v>
      </c>
      <c r="C898" s="706" t="s">
        <v>3080</v>
      </c>
      <c r="D898" s="706" t="s">
        <v>3081</v>
      </c>
      <c r="E898" s="706" t="s">
        <v>333</v>
      </c>
      <c r="F898" s="706" t="s">
        <v>1149</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G905</v>
      </c>
      <c r="AK898" s="905" t="str">
        <f t="shared" si="90"/>
        <v>AUTRES REVENUS DIVERS</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G905</v>
      </c>
      <c r="AU898" s="488" t="str">
        <f t="shared" si="93"/>
        <v>AUTRES REVENUS DIVERS</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1147</v>
      </c>
      <c r="B899" s="706">
        <v>2025</v>
      </c>
      <c r="C899" s="706" t="s">
        <v>3082</v>
      </c>
      <c r="D899" s="706" t="s">
        <v>3081</v>
      </c>
      <c r="E899" s="706" t="s">
        <v>333</v>
      </c>
      <c r="F899" s="706" t="s">
        <v>1149</v>
      </c>
      <c r="G899" s="706">
        <v>9200.92</v>
      </c>
      <c r="H899" s="706">
        <v>25416.37</v>
      </c>
      <c r="I899" s="706">
        <v>81395.02</v>
      </c>
      <c r="J899" s="706">
        <v>147113.78</v>
      </c>
      <c r="K899" s="706">
        <v>147338.01</v>
      </c>
      <c r="L899" s="706">
        <v>243648.3</v>
      </c>
      <c r="M899" s="706">
        <v>282236.84000000003</v>
      </c>
      <c r="N899" s="706">
        <v>263170.24</v>
      </c>
      <c r="O899" s="706">
        <v>403132.56</v>
      </c>
      <c r="P899" s="706">
        <v>427595.42</v>
      </c>
      <c r="Q899" s="706">
        <v>461158.49</v>
      </c>
      <c r="R899" s="706">
        <v>1532156.5100000002</v>
      </c>
      <c r="S899" s="706">
        <v>41923.5</v>
      </c>
      <c r="T899" s="706">
        <v>41923.5</v>
      </c>
      <c r="U899" s="706">
        <v>474657.65</v>
      </c>
      <c r="V899" s="706">
        <v>6</v>
      </c>
      <c r="W899" s="706">
        <v>20</v>
      </c>
      <c r="X899" s="706">
        <v>34</v>
      </c>
      <c r="Y899" s="706">
        <v>45</v>
      </c>
      <c r="Z899" s="706">
        <v>47</v>
      </c>
      <c r="AA899" s="706">
        <v>59</v>
      </c>
      <c r="AB899" s="706">
        <v>65</v>
      </c>
      <c r="AC899" s="706">
        <v>51</v>
      </c>
      <c r="AD899" s="706">
        <v>49</v>
      </c>
      <c r="AE899" s="706">
        <v>53</v>
      </c>
      <c r="AF899" s="706">
        <v>54</v>
      </c>
      <c r="AG899" s="706">
        <v>69</v>
      </c>
      <c r="AH899" s="706">
        <v>5</v>
      </c>
      <c r="AI899" s="706">
        <v>5</v>
      </c>
      <c r="AJ899" s="905" t="str">
        <f t="shared" si="89"/>
        <v>G90500</v>
      </c>
      <c r="AK899" s="905" t="str">
        <f t="shared" si="90"/>
        <v>AUTRES REVENUS DIVERS</v>
      </c>
      <c r="AL899" s="905">
        <f>IFERROR(INDEX(G899:R899,1,MATCH(Parametres!$B$3,G$1:R$1,0)-1)*IF(OR(F899="L",F899="S",F899="I"),-1,1),"")</f>
        <v>-461158.49</v>
      </c>
      <c r="AM899" s="905">
        <f t="shared" si="91"/>
        <v>-1070998.0200000003</v>
      </c>
      <c r="AN899" s="905">
        <f>INDEX(G899:R899,1,MATCH(Parametres!$B$3,G$1:R$1,0))*IF(OR(F899="L",F899="S",F899="I"),-1,1)</f>
        <v>-1532156.5100000002</v>
      </c>
      <c r="AO899" s="487" t="str">
        <f>+VLOOKUP($AJ899,Data_Validation!$A:$D,1,0)</f>
        <v>G90500</v>
      </c>
      <c r="AP899" s="487" t="str">
        <f>+VLOOKUP($AJ899,Data_Validation!$A:$D,3,0)</f>
        <v>TOTAL DES REVENUS ET DÉPENSES</v>
      </c>
      <c r="AQ899" s="487" t="str">
        <f>+VLOOKUP($AJ899,Data_Validation!$A:$D,4,0)</f>
        <v>Revenus autres</v>
      </c>
      <c r="AR899" s="487" t="s">
        <v>299</v>
      </c>
      <c r="AS899" s="487">
        <f>+VLOOKUP($AJ899,Data_Validation!$A:$E,5,0)</f>
        <v>0</v>
      </c>
      <c r="AT899" s="904" t="str">
        <f t="shared" si="92"/>
        <v>G90500</v>
      </c>
      <c r="AU899" s="488" t="str">
        <f t="shared" si="93"/>
        <v>AUTRES REVENUS DIVERS</v>
      </c>
      <c r="AV899" s="899">
        <f>IFERROR(INDEX(V899:AG899,1,MATCH(Parametres!$B$3,V$1:AG$1,0)-1)*IF(OR(C899="L",C899="S",C899="I"),-1,1),"")</f>
        <v>54</v>
      </c>
      <c r="AW899" s="899">
        <f t="shared" si="94"/>
        <v>15</v>
      </c>
      <c r="AX899" s="899">
        <f>INDEX(V899:AG899,1,MATCH(Parametres!$B$3,V$1:AG$1,0))*IF(OR(C899="L",C899="S",C899="I"),-1,1)</f>
        <v>69</v>
      </c>
      <c r="AY899" s="487" t="s">
        <v>337</v>
      </c>
      <c r="AZ899" s="487">
        <f>+VLOOKUP($AJ899,Data_Validation!$A:$E,5,0)</f>
        <v>0</v>
      </c>
    </row>
    <row r="900" spans="1:52" ht="15" hidden="1" customHeight="1">
      <c r="A900" s="706" t="s">
        <v>1147</v>
      </c>
      <c r="B900" s="706">
        <v>2025</v>
      </c>
      <c r="C900" s="706" t="s">
        <v>3087</v>
      </c>
      <c r="D900" s="706" t="s">
        <v>3088</v>
      </c>
      <c r="E900" s="706" t="s">
        <v>333</v>
      </c>
      <c r="F900" s="706" t="s">
        <v>1149</v>
      </c>
      <c r="G900" s="706">
        <v>0</v>
      </c>
      <c r="H900" s="706">
        <v>0</v>
      </c>
      <c r="I900" s="706">
        <v>45532.19</v>
      </c>
      <c r="J900" s="706">
        <v>46855.12</v>
      </c>
      <c r="K900" s="706">
        <v>142305.12</v>
      </c>
      <c r="L900" s="706">
        <v>153188.49</v>
      </c>
      <c r="M900" s="706">
        <v>178283.49</v>
      </c>
      <c r="N900" s="706">
        <v>203730.07</v>
      </c>
      <c r="O900" s="706">
        <v>230561.58</v>
      </c>
      <c r="P900" s="706">
        <v>284966.53000000003</v>
      </c>
      <c r="Q900" s="706">
        <v>326879.89</v>
      </c>
      <c r="R900" s="706">
        <v>332501.82</v>
      </c>
      <c r="S900" s="706">
        <v>29716.35</v>
      </c>
      <c r="T900" s="706">
        <v>29716.35</v>
      </c>
      <c r="U900" s="706">
        <v>0</v>
      </c>
      <c r="V900" s="706">
        <v>0</v>
      </c>
      <c r="W900" s="706">
        <v>0</v>
      </c>
      <c r="X900" s="706">
        <v>8</v>
      </c>
      <c r="Y900" s="706">
        <v>10</v>
      </c>
      <c r="Z900" s="706">
        <v>2</v>
      </c>
      <c r="AA900" s="706">
        <v>5</v>
      </c>
      <c r="AB900" s="706">
        <v>8</v>
      </c>
      <c r="AC900" s="706">
        <v>12</v>
      </c>
      <c r="AD900" s="706">
        <v>13</v>
      </c>
      <c r="AE900" s="706">
        <v>22</v>
      </c>
      <c r="AF900" s="706">
        <v>26</v>
      </c>
      <c r="AG900" s="706">
        <v>32</v>
      </c>
      <c r="AH900" s="706">
        <v>2</v>
      </c>
      <c r="AI900" s="706">
        <v>2</v>
      </c>
      <c r="AJ900" s="905" t="str">
        <f t="shared" si="89"/>
        <v>G90900</v>
      </c>
      <c r="AK900" s="905" t="str">
        <f t="shared" si="90"/>
        <v>REMBOURSEMENTS DE GMCL</v>
      </c>
      <c r="AL900" s="905">
        <f>IFERROR(INDEX(G900:R900,1,MATCH(Parametres!$B$3,G$1:R$1,0)-1)*IF(OR(F900="L",F900="S",F900="I"),-1,1),"")</f>
        <v>-326879.89</v>
      </c>
      <c r="AM900" s="905">
        <f t="shared" si="91"/>
        <v>-5621.929999999993</v>
      </c>
      <c r="AN900" s="905">
        <f>INDEX(G900:R900,1,MATCH(Parametres!$B$3,G$1:R$1,0))*IF(OR(F900="L",F900="S",F900="I"),-1,1)</f>
        <v>-332501.82</v>
      </c>
      <c r="AO900" s="487" t="str">
        <f>+VLOOKUP($AJ900,Data_Validation!$A:$D,1,0)</f>
        <v>G90900</v>
      </c>
      <c r="AP900" s="487" t="str">
        <f>+VLOOKUP($AJ900,Data_Validation!$A:$D,3,0)</f>
        <v>Véhicules neufs</v>
      </c>
      <c r="AQ900" s="487" t="str">
        <f>+VLOOKUP($AJ900,Data_Validation!$A:$D,4,0)</f>
        <v>Programme Excellence</v>
      </c>
      <c r="AR900" s="487" t="s">
        <v>299</v>
      </c>
      <c r="AS900" s="487">
        <f>+VLOOKUP($AJ900,Data_Validation!$A:$E,5,0)</f>
        <v>0</v>
      </c>
      <c r="AT900" s="904" t="str">
        <f t="shared" si="92"/>
        <v>G90900</v>
      </c>
      <c r="AU900" s="488" t="str">
        <f t="shared" si="93"/>
        <v>REMBOURSEMENTS DE GMCL</v>
      </c>
      <c r="AV900" s="899">
        <f>IFERROR(INDEX(V900:AG900,1,MATCH(Parametres!$B$3,V$1:AG$1,0)-1)*IF(OR(C900="L",C900="S",C900="I"),-1,1),"")</f>
        <v>26</v>
      </c>
      <c r="AW900" s="899">
        <f t="shared" si="94"/>
        <v>6</v>
      </c>
      <c r="AX900" s="899">
        <f>INDEX(V900:AG900,1,MATCH(Parametres!$B$3,V$1:AG$1,0))*IF(OR(C900="L",C900="S",C900="I"),-1,1)</f>
        <v>32</v>
      </c>
      <c r="AY900" s="487" t="s">
        <v>337</v>
      </c>
      <c r="AZ900" s="487">
        <f>+VLOOKUP($AJ900,Data_Validation!$A:$E,5,0)</f>
        <v>0</v>
      </c>
    </row>
    <row r="901" spans="1:52" ht="15" customHeight="1">
      <c r="A901" s="706" t="s">
        <v>1147</v>
      </c>
      <c r="B901" s="706">
        <v>2025</v>
      </c>
      <c r="C901" s="706" t="s">
        <v>3089</v>
      </c>
      <c r="D901" s="706" t="s">
        <v>3090</v>
      </c>
      <c r="E901" s="706" t="s">
        <v>333</v>
      </c>
      <c r="F901" s="706" t="s">
        <v>1104</v>
      </c>
      <c r="G901" s="706">
        <v>0</v>
      </c>
      <c r="H901" s="706">
        <v>0</v>
      </c>
      <c r="I901" s="706">
        <v>0</v>
      </c>
      <c r="J901" s="706">
        <v>0</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9"/>
        <v>G953</v>
      </c>
      <c r="AK901" s="905" t="str">
        <f t="shared" si="90"/>
        <v>ESCOMPTE ACCORDE</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t="str">
        <f t="shared" si="92"/>
        <v>G953</v>
      </c>
      <c r="AU901" s="488" t="str">
        <f t="shared" si="93"/>
        <v>ESCOMPTE ACCORDE</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customHeight="1">
      <c r="A902" s="706" t="s">
        <v>1147</v>
      </c>
      <c r="B902" s="706">
        <v>2025</v>
      </c>
      <c r="C902" s="706" t="s">
        <v>3091</v>
      </c>
      <c r="D902" s="706" t="s">
        <v>3092</v>
      </c>
      <c r="E902" s="706" t="s">
        <v>333</v>
      </c>
      <c r="F902" s="706" t="s">
        <v>1104</v>
      </c>
      <c r="G902" s="706">
        <v>0</v>
      </c>
      <c r="H902" s="706">
        <v>0</v>
      </c>
      <c r="I902" s="706">
        <v>0</v>
      </c>
      <c r="J902" s="706">
        <v>0</v>
      </c>
      <c r="K902" s="706">
        <v>0</v>
      </c>
      <c r="L902" s="706">
        <v>0</v>
      </c>
      <c r="M902" s="706">
        <v>0</v>
      </c>
      <c r="N902" s="706">
        <v>0</v>
      </c>
      <c r="O902" s="706">
        <v>0</v>
      </c>
      <c r="P902" s="706">
        <v>0</v>
      </c>
      <c r="Q902" s="706">
        <v>0</v>
      </c>
      <c r="R902" s="706">
        <v>0</v>
      </c>
      <c r="S902" s="706">
        <v>0</v>
      </c>
      <c r="T902" s="706">
        <v>0</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9"/>
        <v>G955</v>
      </c>
      <c r="AK902" s="905" t="str">
        <f t="shared" si="90"/>
        <v>AUTRES DEDUCTIONS</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t="str">
        <f t="shared" si="92"/>
        <v>G955</v>
      </c>
      <c r="AU902" s="488" t="str">
        <f t="shared" si="93"/>
        <v>AUTRES DEDUCTIONS</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903" s="706" t="s">
        <v>1147</v>
      </c>
      <c r="B903" s="706">
        <v>2025</v>
      </c>
      <c r="C903" s="706" t="s">
        <v>3093</v>
      </c>
      <c r="D903" s="706" t="s">
        <v>3092</v>
      </c>
      <c r="E903" s="706" t="s">
        <v>333</v>
      </c>
      <c r="F903" s="706" t="s">
        <v>1104</v>
      </c>
      <c r="G903" s="706">
        <v>386.63</v>
      </c>
      <c r="H903" s="706">
        <v>1131.45</v>
      </c>
      <c r="I903" s="706">
        <v>1803.49</v>
      </c>
      <c r="J903" s="706">
        <v>2326.88</v>
      </c>
      <c r="K903" s="706">
        <v>3018.51</v>
      </c>
      <c r="L903" s="706">
        <v>3314.29</v>
      </c>
      <c r="M903" s="706">
        <v>3574.51</v>
      </c>
      <c r="N903" s="706">
        <v>3690.16</v>
      </c>
      <c r="O903" s="706">
        <v>3670.72</v>
      </c>
      <c r="P903" s="706">
        <v>3723.44</v>
      </c>
      <c r="Q903" s="706">
        <v>3764.29</v>
      </c>
      <c r="R903" s="706">
        <v>241846.9</v>
      </c>
      <c r="S903" s="706">
        <v>342.21</v>
      </c>
      <c r="T903" s="706">
        <v>342.21</v>
      </c>
      <c r="U903" s="706">
        <v>238049</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9"/>
        <v>G95500</v>
      </c>
      <c r="AK903" s="905" t="str">
        <f t="shared" si="90"/>
        <v>AUTRES DEDUCTIONS</v>
      </c>
      <c r="AL903" s="905">
        <f>IFERROR(INDEX(G903:R903,1,MATCH(Parametres!$B$3,G$1:R$1,0)-1)*IF(OR(F903="L",F903="S",F903="I"),-1,1),"")</f>
        <v>3764.29</v>
      </c>
      <c r="AM903" s="905">
        <f t="shared" si="91"/>
        <v>238082.61</v>
      </c>
      <c r="AN903" s="905">
        <f>INDEX(G903:R903,1,MATCH(Parametres!$B$3,G$1:R$1,0))*IF(OR(F903="L",F903="S",F903="I"),-1,1)</f>
        <v>241846.9</v>
      </c>
      <c r="AO903" s="487" t="str">
        <f>+VLOOKUP($AJ903,Data_Validation!$A:$D,1,0)</f>
        <v>G95500</v>
      </c>
      <c r="AP903" s="487" t="str">
        <f>+VLOOKUP($AJ903,Data_Validation!$A:$D,3,0)</f>
        <v>TOTAL DES REVENUS ET DÉPENSES</v>
      </c>
      <c r="AQ903" s="487" t="str">
        <f>+VLOOKUP($AJ903,Data_Validation!$A:$D,4,0)</f>
        <v>Revenus autres</v>
      </c>
      <c r="AR903" s="487" t="s">
        <v>299</v>
      </c>
      <c r="AS903" s="487">
        <f>+VLOOKUP($AJ903,Data_Validation!$A:$E,5,0)</f>
        <v>0</v>
      </c>
      <c r="AT903" s="904" t="str">
        <f t="shared" si="92"/>
        <v>G95500</v>
      </c>
      <c r="AU903" s="488" t="str">
        <f t="shared" si="93"/>
        <v>AUTRES DEDUCTIONS</v>
      </c>
      <c r="AV903" s="899">
        <f>IFERROR(INDEX(V903:AG903,1,MATCH(Parametres!$B$3,V$1:AG$1,0)-1)*IF(OR(C903="L",C903="S",C903="I"),-1,1),"")</f>
        <v>0</v>
      </c>
      <c r="AW903" s="899">
        <f t="shared" si="94"/>
        <v>0</v>
      </c>
      <c r="AX903" s="899">
        <f>INDEX(V903:AG903,1,MATCH(Parametres!$B$3,V$1:AG$1,0))*IF(OR(C903="L",C903="S",C903="I"),-1,1)</f>
        <v>0</v>
      </c>
      <c r="AY903" s="487" t="s">
        <v>337</v>
      </c>
      <c r="AZ903" s="487">
        <f>+VLOOKUP($AJ903,Data_Validation!$A:$E,5,0)</f>
        <v>0</v>
      </c>
    </row>
    <row r="904" spans="1:52" ht="15" customHeight="1">
      <c r="A904" s="706" t="s">
        <v>1147</v>
      </c>
      <c r="B904" s="706">
        <v>2025</v>
      </c>
      <c r="C904" s="706" t="s">
        <v>3096</v>
      </c>
      <c r="D904" s="706" t="s">
        <v>1783</v>
      </c>
      <c r="E904" s="706" t="s">
        <v>333</v>
      </c>
      <c r="F904" s="706" t="s">
        <v>1104</v>
      </c>
      <c r="G904" s="706">
        <v>0</v>
      </c>
      <c r="H904" s="706">
        <v>0</v>
      </c>
      <c r="I904" s="706">
        <v>0</v>
      </c>
      <c r="J904" s="706">
        <v>0</v>
      </c>
      <c r="K904" s="706">
        <v>0</v>
      </c>
      <c r="L904" s="706">
        <v>0</v>
      </c>
      <c r="M904" s="706">
        <v>0</v>
      </c>
      <c r="N904" s="706">
        <v>0</v>
      </c>
      <c r="O904" s="706">
        <v>0</v>
      </c>
      <c r="P904" s="706">
        <v>0</v>
      </c>
      <c r="Q904" s="706">
        <v>0</v>
      </c>
      <c r="R904" s="706">
        <v>0</v>
      </c>
      <c r="S904" s="706">
        <v>0</v>
      </c>
      <c r="T904" s="706">
        <v>0</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9"/>
        <v>G99960</v>
      </c>
      <c r="AK904" s="905" t="str">
        <f t="shared" si="90"/>
        <v>IN &amp; OUT PAYROLL</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t="str">
        <f t="shared" si="92"/>
        <v>G99960</v>
      </c>
      <c r="AU904" s="488" t="str">
        <f t="shared" si="93"/>
        <v>IN &amp; OUT PAYROLL</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905" s="706" t="s">
        <v>1147</v>
      </c>
      <c r="B905" s="706">
        <v>2025</v>
      </c>
      <c r="C905" s="706" t="s">
        <v>3097</v>
      </c>
      <c r="D905" s="706" t="s">
        <v>3098</v>
      </c>
      <c r="E905" s="706" t="s">
        <v>1140</v>
      </c>
      <c r="F905" s="706" t="s">
        <v>1104</v>
      </c>
      <c r="G905" s="706">
        <v>0</v>
      </c>
      <c r="H905" s="706">
        <v>0</v>
      </c>
      <c r="I905" s="706">
        <v>0</v>
      </c>
      <c r="J905" s="706">
        <v>23889.82</v>
      </c>
      <c r="K905" s="706">
        <v>26446.45</v>
      </c>
      <c r="L905" s="706">
        <v>26446.45</v>
      </c>
      <c r="M905" s="706">
        <v>4832.51</v>
      </c>
      <c r="N905" s="706">
        <v>0</v>
      </c>
      <c r="O905" s="706">
        <v>0</v>
      </c>
      <c r="P905" s="706">
        <v>0</v>
      </c>
      <c r="Q905" s="706">
        <v>0</v>
      </c>
      <c r="R905" s="706">
        <v>0</v>
      </c>
      <c r="S905" s="706">
        <v>0</v>
      </c>
      <c r="T905" s="706">
        <v>0</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9"/>
        <v>G9999</v>
      </c>
      <c r="AK905" s="905" t="str">
        <f t="shared" si="90"/>
        <v>CHARGES A REFACTURER</v>
      </c>
      <c r="AL905" s="905">
        <f>IFERROR(INDEX(G905:R905,1,MATCH(Parametres!$B$3,G$1:R$1,0)-1)*IF(OR(F905="L",F905="S",F905="I"),-1,1),"")</f>
        <v>0</v>
      </c>
      <c r="AM905" s="905">
        <f t="shared" si="91"/>
        <v>0</v>
      </c>
      <c r="AN905" s="905">
        <f>INDEX(G905:R905,1,MATCH(Parametres!$B$3,G$1:R$1,0))*IF(OR(F905="L",F905="S",F905="I"),-1,1)</f>
        <v>0</v>
      </c>
      <c r="AO905" s="487" t="str">
        <f>+VLOOKUP($AJ905,Data_Validation!$A:$D,1,0)</f>
        <v>G9999</v>
      </c>
      <c r="AP905" s="487" t="str">
        <f>+VLOOKUP($AJ905,Data_Validation!$A:$D,3,0)</f>
        <v>Wholesale autres</v>
      </c>
      <c r="AQ905" s="487" t="str">
        <f>+VLOOKUP($AJ905,Data_Validation!$A:$D,4,0)</f>
        <v>Frais de livraison</v>
      </c>
      <c r="AR905" s="487" t="s">
        <v>299</v>
      </c>
      <c r="AS905" s="487">
        <f>+VLOOKUP($AJ905,Data_Validation!$A:$E,5,0)</f>
        <v>0</v>
      </c>
      <c r="AT905" s="904" t="str">
        <f t="shared" si="92"/>
        <v>G9999</v>
      </c>
      <c r="AU905" s="488" t="str">
        <f t="shared" si="93"/>
        <v>CHARGES A REFACTURER</v>
      </c>
      <c r="AV905" s="899">
        <f>IFERROR(INDEX(V905:AG905,1,MATCH(Parametres!$B$3,V$1:AG$1,0)-1)*IF(OR(C905="L",C905="S",C905="I"),-1,1),"")</f>
        <v>0</v>
      </c>
      <c r="AW905" s="899">
        <f t="shared" si="94"/>
        <v>0</v>
      </c>
      <c r="AX905" s="899">
        <f>INDEX(V905:AG905,1,MATCH(Parametres!$B$3,V$1:AG$1,0))*IF(OR(C905="L",C905="S",C905="I"),-1,1)</f>
        <v>0</v>
      </c>
      <c r="AY905" s="487" t="s">
        <v>337</v>
      </c>
      <c r="AZ905" s="487">
        <f>+VLOOKUP($AJ905,Data_Validation!$A:$E,5,0)</f>
        <v>0</v>
      </c>
    </row>
    <row r="906" spans="1:52" ht="15"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36:52" ht="15"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36:52" ht="15"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36:52" ht="15" customHeight="1">
      <c r="AJ1011" s="905">
        <f t="shared" si="107"/>
        <v>0</v>
      </c>
      <c r="AK1011" s="905">
        <f t="shared" si="108"/>
        <v>0</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f t="shared" si="110"/>
        <v>0</v>
      </c>
      <c r="AU1011" s="488">
        <f t="shared" si="111"/>
        <v>0</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36:52" ht="15" customHeight="1">
      <c r="AJ1012" s="905">
        <f t="shared" si="107"/>
        <v>0</v>
      </c>
      <c r="AK1012" s="905">
        <f t="shared" si="108"/>
        <v>0</v>
      </c>
      <c r="AL1012" s="905">
        <f>IFERROR(INDEX(G1012:R1012,1,MATCH(Parametres!$B$3,G$1:R$1,0)-1)*IF(OR(F1012="L",F1012="S",F1012="I"),-1,1),"")</f>
        <v>0</v>
      </c>
      <c r="AM1012" s="905">
        <f t="shared" si="109"/>
        <v>0</v>
      </c>
      <c r="AN1012" s="905">
        <f>INDEX(G1012:R1012,1,MATCH(Parametres!$B$3,G$1:R$1,0))*IF(OR(F1012="L",F1012="S",F1012="I"),-1,1)</f>
        <v>0</v>
      </c>
      <c r="AO1012" s="487" t="e">
        <f>+VLOOKUP($AJ1012,Data_Validation!$A:$D,1,0)</f>
        <v>#N/A</v>
      </c>
      <c r="AP1012" s="487" t="e">
        <f>+VLOOKUP($AJ1012,Data_Validation!$A:$D,3,0)</f>
        <v>#N/A</v>
      </c>
      <c r="AQ1012" s="487" t="e">
        <f>+VLOOKUP($AJ1012,Data_Validation!$A:$D,4,0)</f>
        <v>#N/A</v>
      </c>
      <c r="AR1012" s="487" t="s">
        <v>299</v>
      </c>
      <c r="AS1012" s="487" t="e">
        <f>+VLOOKUP($AJ1012,Data_Validation!$A:$E,5,0)</f>
        <v>#N/A</v>
      </c>
      <c r="AT1012" s="904">
        <f t="shared" si="110"/>
        <v>0</v>
      </c>
      <c r="AU1012" s="488">
        <f t="shared" si="111"/>
        <v>0</v>
      </c>
      <c r="AV1012" s="899">
        <f>IFERROR(INDEX(V1012:AG1012,1,MATCH(Parametres!$B$3,V$1:AG$1,0)-1)*IF(OR(C1012="L",C1012="S",C1012="I"),-1,1),"")</f>
        <v>0</v>
      </c>
      <c r="AW1012" s="899">
        <f t="shared" si="112"/>
        <v>0</v>
      </c>
      <c r="AX1012" s="899">
        <f>INDEX(V1012:AG1012,1,MATCH(Parametres!$B$3,V$1:AG$1,0))*IF(OR(C1012="L",C1012="S",C1012="I"),-1,1)</f>
        <v>0</v>
      </c>
      <c r="AY1012" s="487" t="s">
        <v>337</v>
      </c>
      <c r="AZ1012" s="487" t="e">
        <f>+VLOOKUP($AJ1012,Data_Validation!$A:$E,5,0)</f>
        <v>#N/A</v>
      </c>
    </row>
    <row r="1013" spans="36:52" ht="15"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36:52" ht="15"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36:52" ht="15"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36:52" ht="15"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36:52" ht="15"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36:52" ht="15"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36:52" ht="15"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36:52" ht="15"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36:52" ht="15"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36:52" ht="15"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36:52" ht="15"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36:52" ht="15"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42">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7"/>
  <sheetViews>
    <sheetView topLeftCell="A754" workbookViewId="0">
      <selection activeCell="D759" sqref="D759"/>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1155</v>
      </c>
      <c r="B1" t="s">
        <v>247</v>
      </c>
      <c r="C1" s="900" t="s">
        <v>651</v>
      </c>
      <c r="D1" s="900" t="s">
        <v>642</v>
      </c>
      <c r="E1" s="900" t="s">
        <v>635</v>
      </c>
      <c r="F1" s="4"/>
      <c r="G1" s="489" t="s">
        <v>651</v>
      </c>
      <c r="I1" s="489" t="s">
        <v>642</v>
      </c>
    </row>
    <row r="2" spans="1:11" ht="15" customHeight="1">
      <c r="A2" t="s">
        <v>1176</v>
      </c>
      <c r="B2" t="s">
        <v>1177</v>
      </c>
      <c r="C2" s="710" t="s">
        <v>88</v>
      </c>
      <c r="D2" s="710" t="s">
        <v>107</v>
      </c>
      <c r="E2" s="710"/>
      <c r="F2" s="3"/>
      <c r="G2" s="490" t="s">
        <v>652</v>
      </c>
      <c r="I2" s="490">
        <f>Print_Mois!C4</f>
        <v>0</v>
      </c>
    </row>
    <row r="3" spans="1:11" ht="15" customHeight="1">
      <c r="A3" t="s">
        <v>1178</v>
      </c>
      <c r="B3" t="s">
        <v>1179</v>
      </c>
      <c r="C3" s="710" t="s">
        <v>148</v>
      </c>
      <c r="D3" s="710" t="s">
        <v>107</v>
      </c>
      <c r="E3" s="710"/>
      <c r="F3" s="30"/>
      <c r="G3" s="490" t="str">
        <f>Print_Mois!K1</f>
        <v>Véhicules neufs</v>
      </c>
      <c r="I3" s="490" t="s">
        <v>79</v>
      </c>
    </row>
    <row r="4" spans="1:11" ht="15" customHeight="1">
      <c r="A4" t="s">
        <v>1180</v>
      </c>
      <c r="B4" s="706" t="s">
        <v>1181</v>
      </c>
      <c r="C4" s="710" t="s">
        <v>1162</v>
      </c>
      <c r="D4" s="710" t="s">
        <v>107</v>
      </c>
      <c r="E4" s="710"/>
      <c r="F4" s="30"/>
      <c r="G4" s="490" t="str">
        <f>Print_Mois!K89</f>
        <v>Véhicules usagés</v>
      </c>
      <c r="I4" s="490" t="str">
        <f>Print_Mois!C258</f>
        <v>Ajustement M/O</v>
      </c>
      <c r="K4" s="491" t="s">
        <v>653</v>
      </c>
    </row>
    <row r="5" spans="1:11" ht="15" customHeight="1">
      <c r="A5" t="s">
        <v>1182</v>
      </c>
      <c r="B5" t="s">
        <v>1183</v>
      </c>
      <c r="C5" s="710" t="s">
        <v>88</v>
      </c>
      <c r="D5" s="710" t="s">
        <v>109</v>
      </c>
      <c r="E5" s="710"/>
      <c r="F5" s="30"/>
      <c r="G5" s="490">
        <f>Print_Mois!AE489</f>
        <v>0</v>
      </c>
      <c r="I5" s="490" t="s">
        <v>66</v>
      </c>
      <c r="K5" s="135" t="s">
        <v>654</v>
      </c>
    </row>
    <row r="6" spans="1:11" ht="15" customHeight="1">
      <c r="A6" t="s">
        <v>1184</v>
      </c>
      <c r="B6" t="s">
        <v>1185</v>
      </c>
      <c r="C6" s="710" t="s">
        <v>148</v>
      </c>
      <c r="D6" s="710" t="s">
        <v>109</v>
      </c>
      <c r="E6" s="710"/>
      <c r="F6" s="30"/>
      <c r="G6" s="490" t="str">
        <f>Print_Mois!K242</f>
        <v>Service</v>
      </c>
      <c r="I6" s="490" t="s">
        <v>68</v>
      </c>
      <c r="K6" s="135" t="s">
        <v>655</v>
      </c>
    </row>
    <row r="7" spans="1:11" ht="15" customHeight="1">
      <c r="A7" t="s">
        <v>1186</v>
      </c>
      <c r="B7" t="s">
        <v>1181</v>
      </c>
      <c r="C7" s="710" t="s">
        <v>1162</v>
      </c>
      <c r="D7" s="710" t="s">
        <v>109</v>
      </c>
      <c r="E7" s="710"/>
      <c r="F7" s="30"/>
      <c r="G7" s="490" t="str">
        <f>Print_Mois!K310</f>
        <v>Carrosserie</v>
      </c>
      <c r="I7" s="490" t="str">
        <f>Print_Mois!V578</f>
        <v>Amortissement</v>
      </c>
      <c r="K7" s="135" t="s">
        <v>300</v>
      </c>
    </row>
    <row r="8" spans="1:11" ht="15" customHeight="1">
      <c r="A8" t="s">
        <v>1187</v>
      </c>
      <c r="B8" t="s">
        <v>1188</v>
      </c>
      <c r="C8" s="710" t="s">
        <v>88</v>
      </c>
      <c r="D8" s="710" t="s">
        <v>110</v>
      </c>
      <c r="E8" s="710"/>
      <c r="F8" s="30"/>
      <c r="G8" s="490" t="str">
        <f>Print_Mois!K367</f>
        <v>Pièces</v>
      </c>
      <c r="I8" s="490" t="s">
        <v>81</v>
      </c>
      <c r="K8" s="135" t="s">
        <v>157</v>
      </c>
    </row>
    <row r="9" spans="1:11" ht="15" customHeight="1">
      <c r="A9" t="s">
        <v>1189</v>
      </c>
      <c r="B9" t="s">
        <v>1190</v>
      </c>
      <c r="C9" s="710" t="s">
        <v>148</v>
      </c>
      <c r="D9" s="710" t="s">
        <v>110</v>
      </c>
      <c r="E9" s="710"/>
      <c r="F9" s="30"/>
      <c r="G9" s="490"/>
      <c r="I9" s="490"/>
      <c r="K9" s="135"/>
    </row>
    <row r="10" spans="1:11" ht="15" customHeight="1">
      <c r="A10" t="s">
        <v>1191</v>
      </c>
      <c r="B10" t="s">
        <v>1192</v>
      </c>
      <c r="C10" s="710" t="s">
        <v>1162</v>
      </c>
      <c r="D10" s="710" t="s">
        <v>110</v>
      </c>
      <c r="E10" s="710"/>
      <c r="F10" s="30"/>
      <c r="G10" s="490"/>
      <c r="I10" s="490"/>
      <c r="K10" s="135"/>
    </row>
    <row r="11" spans="1:11" ht="15" customHeight="1">
      <c r="A11" t="s">
        <v>1195</v>
      </c>
      <c r="B11" t="s">
        <v>1196</v>
      </c>
      <c r="C11" s="710" t="s">
        <v>88</v>
      </c>
      <c r="D11" s="710" t="s">
        <v>200</v>
      </c>
      <c r="E11" s="710"/>
      <c r="F11" s="30"/>
      <c r="G11" s="490"/>
      <c r="I11" s="490"/>
      <c r="K11" s="135"/>
    </row>
    <row r="12" spans="1:11" ht="15" customHeight="1">
      <c r="A12" t="s">
        <v>1197</v>
      </c>
      <c r="B12" t="s">
        <v>1198</v>
      </c>
      <c r="C12" s="710" t="s">
        <v>148</v>
      </c>
      <c r="D12" s="710" t="s">
        <v>200</v>
      </c>
      <c r="E12" s="710"/>
      <c r="F12" s="30"/>
      <c r="G12" s="490"/>
      <c r="I12" s="490" t="s">
        <v>656</v>
      </c>
      <c r="K12" s="491" t="s">
        <v>657</v>
      </c>
    </row>
    <row r="13" spans="1:11" ht="15" customHeight="1">
      <c r="A13" t="s">
        <v>1199</v>
      </c>
      <c r="B13" t="s">
        <v>1200</v>
      </c>
      <c r="C13" s="710" t="s">
        <v>157</v>
      </c>
      <c r="D13" s="710" t="s">
        <v>200</v>
      </c>
      <c r="E13" s="710"/>
      <c r="F13" s="30"/>
      <c r="I13" s="490" t="str">
        <f>Print_Mois!C6</f>
        <v>Autos détail</v>
      </c>
      <c r="K13" s="5" t="s">
        <v>655</v>
      </c>
    </row>
    <row r="14" spans="1:11" ht="15" customHeight="1">
      <c r="A14" t="s">
        <v>1201</v>
      </c>
      <c r="B14" t="s">
        <v>1202</v>
      </c>
      <c r="C14" s="710" t="s">
        <v>172</v>
      </c>
      <c r="D14" s="710" t="s">
        <v>200</v>
      </c>
      <c r="E14" s="710"/>
      <c r="F14" s="30"/>
      <c r="I14" s="490" t="s">
        <v>169</v>
      </c>
    </row>
    <row r="15" spans="1:11" ht="15" customHeight="1">
      <c r="A15" t="s">
        <v>1203</v>
      </c>
      <c r="B15" t="s">
        <v>1204</v>
      </c>
      <c r="C15" s="710" t="s">
        <v>176</v>
      </c>
      <c r="D15" s="710" t="s">
        <v>200</v>
      </c>
      <c r="E15" s="710"/>
      <c r="F15" s="30"/>
      <c r="I15" s="490" t="str">
        <f>Print_Mois!C388</f>
        <v>Autostock</v>
      </c>
      <c r="K15" s="5" t="s">
        <v>300</v>
      </c>
    </row>
    <row r="16" spans="1:11" ht="15" customHeight="1">
      <c r="A16" t="s">
        <v>1207</v>
      </c>
      <c r="B16" t="s">
        <v>1208</v>
      </c>
      <c r="C16" s="710" t="s">
        <v>88</v>
      </c>
      <c r="D16" s="710" t="s">
        <v>116</v>
      </c>
      <c r="E16" s="710"/>
      <c r="F16" s="30"/>
      <c r="I16" s="490" t="s">
        <v>53</v>
      </c>
      <c r="K16" s="491" t="s">
        <v>658</v>
      </c>
    </row>
    <row r="17" spans="1:11" ht="15" customHeight="1">
      <c r="A17" t="s">
        <v>1209</v>
      </c>
      <c r="B17" t="s">
        <v>1210</v>
      </c>
      <c r="C17" s="710" t="s">
        <v>148</v>
      </c>
      <c r="D17" s="710" t="s">
        <v>116</v>
      </c>
      <c r="E17" s="710"/>
      <c r="F17" s="30"/>
      <c r="I17" s="490" t="s">
        <v>27</v>
      </c>
      <c r="K17" s="5" t="s">
        <v>300</v>
      </c>
    </row>
    <row r="18" spans="1:11" ht="15" customHeight="1">
      <c r="A18" t="s">
        <v>1211</v>
      </c>
      <c r="B18" t="s">
        <v>1212</v>
      </c>
      <c r="C18" s="710" t="s">
        <v>1162</v>
      </c>
      <c r="D18" s="710" t="s">
        <v>116</v>
      </c>
      <c r="E18" s="710"/>
      <c r="F18" s="30"/>
      <c r="I18" s="490"/>
      <c r="K18" s="5"/>
    </row>
    <row r="19" spans="1:11" ht="15" customHeight="1">
      <c r="A19" t="s">
        <v>1213</v>
      </c>
      <c r="B19" t="s">
        <v>1214</v>
      </c>
      <c r="C19" s="710" t="s">
        <v>157</v>
      </c>
      <c r="D19" s="710" t="s">
        <v>116</v>
      </c>
      <c r="E19" s="710"/>
      <c r="F19" s="30"/>
      <c r="I19" s="490" t="s">
        <v>50</v>
      </c>
    </row>
    <row r="20" spans="1:11" ht="15" customHeight="1">
      <c r="A20" t="s">
        <v>1215</v>
      </c>
      <c r="B20" t="s">
        <v>1216</v>
      </c>
      <c r="C20" s="710" t="s">
        <v>172</v>
      </c>
      <c r="D20" s="710" t="s">
        <v>116</v>
      </c>
      <c r="E20" s="710"/>
      <c r="F20" s="30"/>
      <c r="I20" s="490" t="s">
        <v>78</v>
      </c>
    </row>
    <row r="21" spans="1:11" ht="15" customHeight="1">
      <c r="A21" t="s">
        <v>1217</v>
      </c>
      <c r="B21" t="s">
        <v>1218</v>
      </c>
      <c r="C21" s="710" t="s">
        <v>176</v>
      </c>
      <c r="D21" s="710" t="s">
        <v>116</v>
      </c>
      <c r="E21" s="710"/>
      <c r="F21" s="30"/>
      <c r="I21" s="490" t="s">
        <v>63</v>
      </c>
    </row>
    <row r="22" spans="1:11" ht="15" customHeight="1">
      <c r="A22" t="s">
        <v>1219</v>
      </c>
      <c r="B22" t="s">
        <v>1220</v>
      </c>
      <c r="C22" s="710" t="s">
        <v>1161</v>
      </c>
      <c r="D22" s="710" t="s">
        <v>116</v>
      </c>
      <c r="E22" s="710"/>
      <c r="F22" s="30"/>
      <c r="I22" s="490" t="s">
        <v>64</v>
      </c>
    </row>
    <row r="23" spans="1:11" ht="15" customHeight="1">
      <c r="A23" t="s">
        <v>1223</v>
      </c>
      <c r="B23" t="s">
        <v>1224</v>
      </c>
      <c r="C23" s="710" t="s">
        <v>88</v>
      </c>
      <c r="D23" s="710" t="s">
        <v>117</v>
      </c>
      <c r="E23" s="710"/>
      <c r="F23" s="30"/>
      <c r="I23" s="490" t="s">
        <v>82</v>
      </c>
    </row>
    <row r="24" spans="1:11" ht="15" customHeight="1">
      <c r="A24" t="s">
        <v>1225</v>
      </c>
      <c r="B24" t="s">
        <v>1226</v>
      </c>
      <c r="C24" s="710" t="s">
        <v>148</v>
      </c>
      <c r="D24" s="710" t="s">
        <v>117</v>
      </c>
      <c r="E24" s="710"/>
      <c r="F24" s="30"/>
      <c r="I24" s="490" t="s">
        <v>192</v>
      </c>
    </row>
    <row r="25" spans="1:11" ht="15" customHeight="1">
      <c r="A25" t="s">
        <v>1227</v>
      </c>
      <c r="B25" t="s">
        <v>1228</v>
      </c>
      <c r="C25" s="710" t="s">
        <v>1162</v>
      </c>
      <c r="D25" s="710" t="s">
        <v>117</v>
      </c>
      <c r="E25" s="710"/>
      <c r="F25" s="30"/>
      <c r="I25" s="490" t="s">
        <v>94</v>
      </c>
    </row>
    <row r="26" spans="1:11" ht="15" customHeight="1">
      <c r="A26" t="s">
        <v>1229</v>
      </c>
      <c r="B26" t="s">
        <v>1230</v>
      </c>
      <c r="C26" s="710" t="s">
        <v>157</v>
      </c>
      <c r="D26" s="710" t="s">
        <v>117</v>
      </c>
      <c r="E26" s="710"/>
      <c r="F26" s="30"/>
      <c r="I26" s="490" t="s">
        <v>80</v>
      </c>
    </row>
    <row r="27" spans="1:11" ht="15" customHeight="1">
      <c r="A27" t="s">
        <v>1231</v>
      </c>
      <c r="B27" t="s">
        <v>1232</v>
      </c>
      <c r="C27" s="710" t="s">
        <v>172</v>
      </c>
      <c r="D27" s="710" t="s">
        <v>117</v>
      </c>
      <c r="E27" s="710"/>
      <c r="F27" s="30"/>
      <c r="I27" s="490" t="str">
        <f>Print_Mois!C94</f>
        <v>Certifié</v>
      </c>
    </row>
    <row r="28" spans="1:11" ht="15" customHeight="1">
      <c r="A28" t="s">
        <v>1233</v>
      </c>
      <c r="B28" t="s">
        <v>1234</v>
      </c>
      <c r="C28" s="710" t="s">
        <v>176</v>
      </c>
      <c r="D28" s="710" t="s">
        <v>117</v>
      </c>
      <c r="E28" s="710"/>
      <c r="F28" s="30"/>
      <c r="I28" s="490" t="str">
        <f>Print_Mois!V545</f>
        <v>Chauffage, éclairage</v>
      </c>
    </row>
    <row r="29" spans="1:11" ht="15" customHeight="1">
      <c r="A29" t="s">
        <v>1235</v>
      </c>
      <c r="B29" t="s">
        <v>1236</v>
      </c>
      <c r="C29" s="710" t="s">
        <v>1161</v>
      </c>
      <c r="D29" s="710" t="s">
        <v>117</v>
      </c>
      <c r="E29" s="710"/>
      <c r="F29" s="30"/>
      <c r="I29" s="490"/>
    </row>
    <row r="30" spans="1:11" ht="15" customHeight="1">
      <c r="A30" t="s">
        <v>1239</v>
      </c>
      <c r="B30" t="s">
        <v>1240</v>
      </c>
      <c r="C30" s="710" t="s">
        <v>88</v>
      </c>
      <c r="D30" s="710" t="s">
        <v>118</v>
      </c>
      <c r="E30" s="710"/>
      <c r="F30" s="30"/>
      <c r="I30" s="490" t="str">
        <f>Print_Mois!C31</f>
        <v>Comm. vendeurs</v>
      </c>
    </row>
    <row r="31" spans="1:11" ht="15" customHeight="1">
      <c r="A31" t="s">
        <v>1241</v>
      </c>
      <c r="B31" t="s">
        <v>1242</v>
      </c>
      <c r="C31" s="710" t="s">
        <v>148</v>
      </c>
      <c r="D31" s="710" t="s">
        <v>118</v>
      </c>
      <c r="E31" s="710"/>
      <c r="F31" s="30"/>
      <c r="I31" s="490" t="s">
        <v>659</v>
      </c>
    </row>
    <row r="32" spans="1:11" ht="15" customHeight="1">
      <c r="A32" t="s">
        <v>1243</v>
      </c>
      <c r="B32" t="s">
        <v>1244</v>
      </c>
      <c r="C32" s="710" t="s">
        <v>1162</v>
      </c>
      <c r="D32" s="710" t="s">
        <v>118</v>
      </c>
      <c r="E32" s="710"/>
      <c r="F32" s="30"/>
      <c r="I32" s="490" t="s">
        <v>660</v>
      </c>
    </row>
    <row r="33" spans="1:9" ht="15" customHeight="1">
      <c r="A33" t="s">
        <v>1245</v>
      </c>
      <c r="B33" t="s">
        <v>1246</v>
      </c>
      <c r="C33" s="710" t="s">
        <v>157</v>
      </c>
      <c r="D33" s="710" t="s">
        <v>118</v>
      </c>
      <c r="E33" s="710"/>
      <c r="F33" s="30"/>
      <c r="I33" s="490" t="str">
        <f>Print_Mois!V518</f>
        <v>Csst</v>
      </c>
    </row>
    <row r="34" spans="1:9" ht="15" customHeight="1">
      <c r="A34" t="s">
        <v>1247</v>
      </c>
      <c r="B34" t="s">
        <v>1248</v>
      </c>
      <c r="C34" s="710" t="s">
        <v>172</v>
      </c>
      <c r="D34" s="710" t="s">
        <v>118</v>
      </c>
      <c r="E34" s="710"/>
      <c r="F34" s="30"/>
      <c r="I34" s="490" t="s">
        <v>51</v>
      </c>
    </row>
    <row r="35" spans="1:9" ht="15" customHeight="1">
      <c r="A35" t="s">
        <v>1249</v>
      </c>
      <c r="B35" t="s">
        <v>1250</v>
      </c>
      <c r="C35" s="710" t="s">
        <v>176</v>
      </c>
      <c r="D35" s="710" t="s">
        <v>118</v>
      </c>
      <c r="E35" s="710"/>
      <c r="F35" s="30"/>
      <c r="I35" s="490"/>
    </row>
    <row r="36" spans="1:9" ht="15" customHeight="1">
      <c r="A36" t="s">
        <v>1251</v>
      </c>
      <c r="B36" t="s">
        <v>1252</v>
      </c>
      <c r="C36" s="710" t="s">
        <v>1161</v>
      </c>
      <c r="D36" s="710" t="s">
        <v>118</v>
      </c>
      <c r="E36" s="710"/>
      <c r="F36" s="30"/>
      <c r="I36" s="490" t="str">
        <f>Print_Mois!V516</f>
        <v>Déduction à la source</v>
      </c>
    </row>
    <row r="37" spans="1:9" ht="15" customHeight="1">
      <c r="A37" t="s">
        <v>1255</v>
      </c>
      <c r="B37" t="s">
        <v>1256</v>
      </c>
      <c r="C37" s="710" t="s">
        <v>88</v>
      </c>
      <c r="D37" s="710" t="s">
        <v>120</v>
      </c>
      <c r="E37" s="710"/>
      <c r="F37" s="30"/>
      <c r="I37" s="490" t="str">
        <f>Print_Mois!V533</f>
        <v>Divers</v>
      </c>
    </row>
    <row r="38" spans="1:9" ht="15" customHeight="1">
      <c r="A38" t="s">
        <v>1257</v>
      </c>
      <c r="B38" t="s">
        <v>1258</v>
      </c>
      <c r="C38" s="710" t="s">
        <v>148</v>
      </c>
      <c r="D38" s="710" t="s">
        <v>120</v>
      </c>
      <c r="E38" s="710"/>
      <c r="F38" s="30"/>
      <c r="I38" s="490" t="s">
        <v>83</v>
      </c>
    </row>
    <row r="39" spans="1:9" ht="15" customHeight="1">
      <c r="A39" t="s">
        <v>1259</v>
      </c>
      <c r="B39" t="s">
        <v>1260</v>
      </c>
      <c r="C39" s="710" t="s">
        <v>1162</v>
      </c>
      <c r="D39" s="710" t="s">
        <v>120</v>
      </c>
      <c r="E39" s="710"/>
      <c r="F39" s="30"/>
      <c r="I39" s="490" t="s">
        <v>210</v>
      </c>
    </row>
    <row r="40" spans="1:9" ht="15" customHeight="1">
      <c r="A40" t="s">
        <v>1261</v>
      </c>
      <c r="B40" t="s">
        <v>1262</v>
      </c>
      <c r="C40" s="710" t="s">
        <v>157</v>
      </c>
      <c r="D40" s="710" t="s">
        <v>120</v>
      </c>
      <c r="E40" s="710"/>
      <c r="F40" s="30"/>
      <c r="I40" s="490" t="s">
        <v>43</v>
      </c>
    </row>
    <row r="41" spans="1:9" ht="15" customHeight="1">
      <c r="A41" t="s">
        <v>1263</v>
      </c>
      <c r="B41" t="s">
        <v>1264</v>
      </c>
      <c r="C41" s="710" t="s">
        <v>172</v>
      </c>
      <c r="D41" s="710" t="s">
        <v>120</v>
      </c>
      <c r="E41" s="710"/>
      <c r="F41" s="30"/>
      <c r="I41" s="490" t="s">
        <v>45</v>
      </c>
    </row>
    <row r="42" spans="1:9" ht="15" customHeight="1">
      <c r="A42" t="s">
        <v>1265</v>
      </c>
      <c r="B42" t="s">
        <v>1266</v>
      </c>
      <c r="C42" s="710" t="s">
        <v>176</v>
      </c>
      <c r="D42" s="710" t="s">
        <v>120</v>
      </c>
      <c r="E42" s="710"/>
      <c r="F42" s="30"/>
      <c r="I42" s="490" t="s">
        <v>21</v>
      </c>
    </row>
    <row r="43" spans="1:9" ht="15" customHeight="1">
      <c r="A43" t="s">
        <v>1267</v>
      </c>
      <c r="B43" t="s">
        <v>1268</v>
      </c>
      <c r="C43" s="710" t="s">
        <v>1161</v>
      </c>
      <c r="D43" s="710" t="s">
        <v>120</v>
      </c>
      <c r="E43" s="710"/>
      <c r="F43" s="30"/>
      <c r="I43" s="490" t="s">
        <v>75</v>
      </c>
    </row>
    <row r="44" spans="1:9" ht="15" customHeight="1">
      <c r="A44" t="s">
        <v>1271</v>
      </c>
      <c r="B44" t="s">
        <v>1272</v>
      </c>
      <c r="C44" s="710" t="s">
        <v>88</v>
      </c>
      <c r="D44" s="710" t="s">
        <v>121</v>
      </c>
      <c r="E44" s="710"/>
      <c r="F44" s="30"/>
      <c r="I44" s="490" t="s">
        <v>72</v>
      </c>
    </row>
    <row r="45" spans="1:9" ht="15" customHeight="1">
      <c r="A45" t="s">
        <v>1273</v>
      </c>
      <c r="B45" t="s">
        <v>1274</v>
      </c>
      <c r="C45" s="710" t="s">
        <v>148</v>
      </c>
      <c r="D45" s="710" t="s">
        <v>121</v>
      </c>
      <c r="E45" s="710"/>
      <c r="F45" s="30"/>
      <c r="I45" s="490" t="s">
        <v>70</v>
      </c>
    </row>
    <row r="46" spans="1:9" ht="15" customHeight="1">
      <c r="A46" t="s">
        <v>1275</v>
      </c>
      <c r="B46" t="s">
        <v>1276</v>
      </c>
      <c r="C46" s="710" t="s">
        <v>1162</v>
      </c>
      <c r="D46" s="710" t="s">
        <v>121</v>
      </c>
      <c r="E46" s="710"/>
      <c r="F46" s="30"/>
      <c r="I46" s="490" t="s">
        <v>73</v>
      </c>
    </row>
    <row r="47" spans="1:9" ht="15" customHeight="1">
      <c r="A47" t="s">
        <v>1277</v>
      </c>
      <c r="B47" t="s">
        <v>1278</v>
      </c>
      <c r="C47" s="710" t="s">
        <v>157</v>
      </c>
      <c r="D47" s="710" t="s">
        <v>121</v>
      </c>
      <c r="E47" s="710"/>
      <c r="F47" s="30"/>
      <c r="I47" s="490" t="str">
        <f>Print_Mois!C378</f>
        <v>Escomptes</v>
      </c>
    </row>
    <row r="48" spans="1:9" ht="15" customHeight="1">
      <c r="A48" t="s">
        <v>1279</v>
      </c>
      <c r="B48" t="s">
        <v>1280</v>
      </c>
      <c r="C48" s="710" t="s">
        <v>172</v>
      </c>
      <c r="D48" s="710" t="s">
        <v>121</v>
      </c>
      <c r="E48" s="710"/>
      <c r="F48" s="30"/>
      <c r="I48" s="490" t="str">
        <f>Print_Mois!C15</f>
        <v>Ex-Démos et courtoisies</v>
      </c>
    </row>
    <row r="49" spans="1:9" ht="15" customHeight="1">
      <c r="A49" t="s">
        <v>1281</v>
      </c>
      <c r="B49" t="s">
        <v>1282</v>
      </c>
      <c r="C49" s="710" t="s">
        <v>176</v>
      </c>
      <c r="D49" s="710" t="s">
        <v>121</v>
      </c>
      <c r="E49" s="710"/>
      <c r="F49" s="30"/>
      <c r="I49" s="490" t="str">
        <f>Print_Mois!C17</f>
        <v>Flottes</v>
      </c>
    </row>
    <row r="50" spans="1:9" ht="15" customHeight="1">
      <c r="A50" t="s">
        <v>1283</v>
      </c>
      <c r="B50" t="s">
        <v>1284</v>
      </c>
      <c r="C50" s="710" t="s">
        <v>1161</v>
      </c>
      <c r="D50" s="710" t="s">
        <v>121</v>
      </c>
      <c r="E50" s="710"/>
      <c r="F50" s="30"/>
      <c r="I50" s="490" t="s">
        <v>661</v>
      </c>
    </row>
    <row r="51" spans="1:9" ht="15" customHeight="1">
      <c r="A51" t="s">
        <v>1287</v>
      </c>
      <c r="B51" t="s">
        <v>1288</v>
      </c>
      <c r="C51" s="710" t="s">
        <v>88</v>
      </c>
      <c r="D51" s="710" t="s">
        <v>122</v>
      </c>
      <c r="E51" s="710"/>
      <c r="F51" s="30"/>
      <c r="I51" s="490" t="str">
        <f>Print_Mois!V528</f>
        <v>Fournitures autres</v>
      </c>
    </row>
    <row r="52" spans="1:9" ht="15" customHeight="1">
      <c r="A52" t="s">
        <v>1289</v>
      </c>
      <c r="B52" t="s">
        <v>1290</v>
      </c>
      <c r="C52" s="710" t="s">
        <v>148</v>
      </c>
      <c r="D52" s="710" t="s">
        <v>122</v>
      </c>
      <c r="E52" s="710"/>
      <c r="F52" s="30"/>
      <c r="I52" s="490" t="str">
        <f>Print_Mois!V567</f>
        <v>Frais administration</v>
      </c>
    </row>
    <row r="53" spans="1:9" ht="15" customHeight="1">
      <c r="A53" t="s">
        <v>1291</v>
      </c>
      <c r="B53" t="s">
        <v>1292</v>
      </c>
      <c r="C53" s="710" t="s">
        <v>1162</v>
      </c>
      <c r="D53" s="710" t="s">
        <v>122</v>
      </c>
      <c r="E53" s="710"/>
      <c r="F53" s="30"/>
      <c r="I53" s="490"/>
    </row>
    <row r="54" spans="1:9" ht="15" customHeight="1">
      <c r="A54" t="s">
        <v>1293</v>
      </c>
      <c r="B54" t="s">
        <v>1294</v>
      </c>
      <c r="C54" s="710" t="s">
        <v>157</v>
      </c>
      <c r="D54" s="710" t="s">
        <v>122</v>
      </c>
      <c r="E54" s="710"/>
      <c r="F54" s="30"/>
      <c r="I54" s="490"/>
    </row>
    <row r="55" spans="1:9" ht="15" customHeight="1">
      <c r="A55" t="s">
        <v>1295</v>
      </c>
      <c r="B55" t="s">
        <v>1296</v>
      </c>
      <c r="C55" s="710" t="s">
        <v>172</v>
      </c>
      <c r="D55" s="710" t="s">
        <v>122</v>
      </c>
      <c r="E55" s="710"/>
      <c r="F55" s="30"/>
      <c r="I55" s="490" t="s">
        <v>138</v>
      </c>
    </row>
    <row r="56" spans="1:9" ht="15" customHeight="1">
      <c r="A56" t="s">
        <v>1297</v>
      </c>
      <c r="B56" t="s">
        <v>1298</v>
      </c>
      <c r="C56" s="710" t="s">
        <v>176</v>
      </c>
      <c r="D56" s="710" t="s">
        <v>122</v>
      </c>
      <c r="E56" s="710"/>
      <c r="F56" s="30"/>
      <c r="I56" s="490"/>
    </row>
    <row r="57" spans="1:9" ht="15" customHeight="1">
      <c r="A57" t="s">
        <v>1299</v>
      </c>
      <c r="B57" t="s">
        <v>1300</v>
      </c>
      <c r="C57" s="710" t="s">
        <v>1161</v>
      </c>
      <c r="D57" s="710" t="s">
        <v>122</v>
      </c>
      <c r="E57" s="710"/>
      <c r="F57" s="30"/>
      <c r="I57" s="490" t="str">
        <f>Print_Mois!V538</f>
        <v>[...]</v>
      </c>
    </row>
    <row r="58" spans="1:9" ht="15" customHeight="1">
      <c r="A58" t="s">
        <v>1305</v>
      </c>
      <c r="B58" t="s">
        <v>1306</v>
      </c>
      <c r="C58" s="710" t="s">
        <v>88</v>
      </c>
      <c r="D58" s="710" t="s">
        <v>123</v>
      </c>
      <c r="E58" s="710"/>
      <c r="F58" s="30"/>
      <c r="I58" s="490" t="s">
        <v>662</v>
      </c>
    </row>
    <row r="59" spans="1:9" ht="15" customHeight="1">
      <c r="A59" t="s">
        <v>1307</v>
      </c>
      <c r="B59" t="s">
        <v>1308</v>
      </c>
      <c r="C59" s="710" t="s">
        <v>148</v>
      </c>
      <c r="D59" s="710" t="s">
        <v>123</v>
      </c>
      <c r="E59" s="710"/>
      <c r="F59" s="30"/>
      <c r="I59" s="490" t="str">
        <f>Print_Mois!V532</f>
        <v>Frais postaux</v>
      </c>
    </row>
    <row r="60" spans="1:9" ht="15" customHeight="1">
      <c r="A60" t="s">
        <v>1309</v>
      </c>
      <c r="B60" t="s">
        <v>1310</v>
      </c>
      <c r="C60" s="710" t="s">
        <v>1162</v>
      </c>
      <c r="D60" s="710" t="s">
        <v>123</v>
      </c>
      <c r="E60" s="710"/>
      <c r="F60" s="30"/>
      <c r="I60" s="490" t="s">
        <v>663</v>
      </c>
    </row>
    <row r="61" spans="1:9" ht="15" customHeight="1">
      <c r="A61" t="s">
        <v>1311</v>
      </c>
      <c r="B61" t="s">
        <v>1312</v>
      </c>
      <c r="C61" s="710" t="s">
        <v>157</v>
      </c>
      <c r="D61" s="710" t="s">
        <v>123</v>
      </c>
      <c r="E61" s="710"/>
      <c r="F61" s="30"/>
      <c r="I61" s="490" t="str">
        <f>Print_Mois!V523</f>
        <v>Frais véhicules de cie</v>
      </c>
    </row>
    <row r="62" spans="1:9" ht="15" customHeight="1">
      <c r="A62" t="s">
        <v>1313</v>
      </c>
      <c r="B62" t="s">
        <v>1314</v>
      </c>
      <c r="C62" s="710" t="s">
        <v>172</v>
      </c>
      <c r="D62" s="710" t="s">
        <v>123</v>
      </c>
      <c r="E62" s="710"/>
      <c r="F62" s="30"/>
      <c r="I62" s="490"/>
    </row>
    <row r="63" spans="1:9" ht="15" customHeight="1">
      <c r="A63" t="s">
        <v>1315</v>
      </c>
      <c r="B63" t="s">
        <v>1316</v>
      </c>
      <c r="C63" s="710" t="s">
        <v>176</v>
      </c>
      <c r="D63" s="710" t="s">
        <v>123</v>
      </c>
      <c r="E63" s="710"/>
      <c r="F63" s="30"/>
      <c r="I63" s="490" t="s">
        <v>664</v>
      </c>
    </row>
    <row r="64" spans="1:9" ht="15" customHeight="1">
      <c r="A64" t="s">
        <v>1317</v>
      </c>
      <c r="B64" t="s">
        <v>1318</v>
      </c>
      <c r="C64" s="710" t="s">
        <v>1161</v>
      </c>
      <c r="D64" s="710" t="s">
        <v>123</v>
      </c>
      <c r="E64" s="710"/>
      <c r="F64" s="30"/>
      <c r="I64" s="490" t="str">
        <f>Print_Mois!V557</f>
        <v>Holdbacks</v>
      </c>
    </row>
    <row r="65" spans="1:9" ht="15" customHeight="1">
      <c r="A65" t="s">
        <v>1323</v>
      </c>
      <c r="B65" t="s">
        <v>1324</v>
      </c>
      <c r="C65" s="710" t="s">
        <v>88</v>
      </c>
      <c r="D65" s="710" t="s">
        <v>135</v>
      </c>
      <c r="E65" s="710"/>
      <c r="F65" s="30"/>
      <c r="I65" s="490" t="s">
        <v>65</v>
      </c>
    </row>
    <row r="66" spans="1:9" ht="15" customHeight="1">
      <c r="A66" t="s">
        <v>1325</v>
      </c>
      <c r="B66" t="s">
        <v>1326</v>
      </c>
      <c r="C66" s="710" t="s">
        <v>148</v>
      </c>
      <c r="D66" s="710" t="s">
        <v>135</v>
      </c>
      <c r="E66" s="710"/>
      <c r="F66" s="30"/>
      <c r="I66" s="490" t="s">
        <v>33</v>
      </c>
    </row>
    <row r="67" spans="1:9" ht="15" customHeight="1">
      <c r="A67" t="s">
        <v>1327</v>
      </c>
      <c r="B67" t="s">
        <v>1328</v>
      </c>
      <c r="C67" s="710" t="s">
        <v>1162</v>
      </c>
      <c r="D67" s="710" t="s">
        <v>135</v>
      </c>
      <c r="E67" s="710"/>
      <c r="F67" s="30"/>
      <c r="I67" s="490" t="s">
        <v>61</v>
      </c>
    </row>
    <row r="68" spans="1:9" ht="15" customHeight="1">
      <c r="A68" t="s">
        <v>1329</v>
      </c>
      <c r="B68" t="s">
        <v>1330</v>
      </c>
      <c r="C68" s="710" t="s">
        <v>157</v>
      </c>
      <c r="D68" s="710" t="s">
        <v>135</v>
      </c>
      <c r="E68" s="710"/>
      <c r="F68" s="30"/>
      <c r="I68" s="490" t="str">
        <f>Print_Mois!V524</f>
        <v>Informatique</v>
      </c>
    </row>
    <row r="69" spans="1:9" ht="15" customHeight="1">
      <c r="A69" t="s">
        <v>1331</v>
      </c>
      <c r="B69" t="s">
        <v>1332</v>
      </c>
      <c r="C69" s="710" t="s">
        <v>172</v>
      </c>
      <c r="D69" s="710" t="s">
        <v>135</v>
      </c>
      <c r="E69" s="710"/>
      <c r="F69" s="30"/>
      <c r="I69" s="490" t="s">
        <v>173</v>
      </c>
    </row>
    <row r="70" spans="1:9" ht="15" customHeight="1">
      <c r="A70" t="s">
        <v>1333</v>
      </c>
      <c r="B70" t="s">
        <v>1334</v>
      </c>
      <c r="C70" s="710" t="s">
        <v>176</v>
      </c>
      <c r="D70" s="710" t="s">
        <v>135</v>
      </c>
      <c r="E70" s="710"/>
      <c r="F70" s="30"/>
      <c r="I70" s="490" t="s">
        <v>113</v>
      </c>
    </row>
    <row r="71" spans="1:9" ht="15" customHeight="1">
      <c r="A71" t="s">
        <v>1337</v>
      </c>
      <c r="B71" t="s">
        <v>1338</v>
      </c>
      <c r="C71" s="710" t="s">
        <v>88</v>
      </c>
      <c r="D71" s="710" t="s">
        <v>127</v>
      </c>
      <c r="E71" s="710"/>
      <c r="F71" s="30"/>
      <c r="I71" s="490" t="str">
        <f>Print_Mois!V579</f>
        <v>Intérêts sur marge</v>
      </c>
    </row>
    <row r="72" spans="1:9" ht="15" customHeight="1">
      <c r="A72" t="s">
        <v>1339</v>
      </c>
      <c r="B72" t="s">
        <v>1340</v>
      </c>
      <c r="C72" s="710" t="s">
        <v>148</v>
      </c>
      <c r="D72" s="710" t="s">
        <v>127</v>
      </c>
      <c r="E72" s="710"/>
      <c r="F72" s="30"/>
      <c r="I72" s="490"/>
    </row>
    <row r="73" spans="1:9" ht="15" customHeight="1">
      <c r="A73" t="s">
        <v>1341</v>
      </c>
      <c r="B73" t="s">
        <v>1342</v>
      </c>
      <c r="C73" s="710" t="s">
        <v>1162</v>
      </c>
      <c r="D73" s="710" t="s">
        <v>127</v>
      </c>
      <c r="E73" s="710"/>
      <c r="F73" s="30"/>
      <c r="I73" s="490" t="str">
        <f>Print_Mois!V580</f>
        <v>Intérêts sur prêt</v>
      </c>
    </row>
    <row r="74" spans="1:9" ht="15" customHeight="1">
      <c r="A74" t="s">
        <v>1343</v>
      </c>
      <c r="B74" t="s">
        <v>1344</v>
      </c>
      <c r="C74" s="710" t="s">
        <v>157</v>
      </c>
      <c r="D74" s="710" t="s">
        <v>127</v>
      </c>
      <c r="E74" s="710"/>
      <c r="F74" s="30"/>
      <c r="I74" s="490" t="s">
        <v>46</v>
      </c>
    </row>
    <row r="75" spans="1:9" ht="15" customHeight="1">
      <c r="A75" t="s">
        <v>1345</v>
      </c>
      <c r="B75" t="s">
        <v>1346</v>
      </c>
      <c r="C75" s="710" t="s">
        <v>172</v>
      </c>
      <c r="D75" s="710" t="s">
        <v>127</v>
      </c>
      <c r="E75" s="710"/>
      <c r="F75" s="30"/>
      <c r="I75" s="490" t="s">
        <v>42</v>
      </c>
    </row>
    <row r="76" spans="1:9" ht="15" customHeight="1">
      <c r="A76" t="s">
        <v>1347</v>
      </c>
      <c r="B76" t="s">
        <v>1348</v>
      </c>
      <c r="C76" s="710" t="s">
        <v>176</v>
      </c>
      <c r="D76" s="710" t="s">
        <v>127</v>
      </c>
      <c r="E76" s="710"/>
      <c r="F76" s="30"/>
      <c r="I76" s="490"/>
    </row>
    <row r="77" spans="1:9" ht="15" customHeight="1">
      <c r="A77" s="937" t="s">
        <v>1351</v>
      </c>
      <c r="B77" s="937" t="s">
        <v>1352</v>
      </c>
      <c r="C77" s="940"/>
      <c r="D77" s="940"/>
      <c r="E77" s="940"/>
      <c r="F77" s="30"/>
      <c r="I77" s="490" t="str">
        <f>Print_Mois!V548</f>
        <v>Location équipement</v>
      </c>
    </row>
    <row r="78" spans="1:9" ht="15" customHeight="1">
      <c r="A78" s="937" t="s">
        <v>1353</v>
      </c>
      <c r="B78" s="937" t="s">
        <v>1354</v>
      </c>
      <c r="C78" s="940"/>
      <c r="D78" s="940"/>
      <c r="E78" s="940"/>
      <c r="F78" s="30"/>
      <c r="I78" s="490" t="str">
        <f>Print_Mois!V540</f>
        <v>Loyer</v>
      </c>
    </row>
    <row r="79" spans="1:9" ht="15" customHeight="1">
      <c r="A79" s="937" t="s">
        <v>1355</v>
      </c>
      <c r="B79" s="937" t="s">
        <v>1356</v>
      </c>
      <c r="C79" s="940"/>
      <c r="D79" s="940"/>
      <c r="E79" s="940"/>
      <c r="F79" s="30"/>
      <c r="I79" s="490" t="str">
        <f>Print_Mois!C318</f>
        <v>Carrosserie Interne</v>
      </c>
    </row>
    <row r="80" spans="1:9" ht="15" customHeight="1">
      <c r="A80" t="s">
        <v>1357</v>
      </c>
      <c r="B80" t="s">
        <v>1358</v>
      </c>
      <c r="C80" s="710" t="s">
        <v>88</v>
      </c>
      <c r="D80" s="710" t="s">
        <v>136</v>
      </c>
      <c r="E80" s="710"/>
      <c r="F80" s="30"/>
      <c r="I80" s="490" t="str">
        <f>Print_Mois!C246</f>
        <v>M/O Client</v>
      </c>
    </row>
    <row r="81" spans="1:9" ht="15" customHeight="1">
      <c r="A81" t="s">
        <v>1359</v>
      </c>
      <c r="B81" t="s">
        <v>1360</v>
      </c>
      <c r="C81" s="710" t="s">
        <v>148</v>
      </c>
      <c r="D81" s="710" t="s">
        <v>136</v>
      </c>
      <c r="E81" s="710"/>
      <c r="F81" s="30"/>
      <c r="I81" s="490" t="str">
        <f>Print_Mois!C255</f>
        <v>M/O Esthétique</v>
      </c>
    </row>
    <row r="82" spans="1:9" ht="15" customHeight="1">
      <c r="A82" t="s">
        <v>1361</v>
      </c>
      <c r="B82" t="s">
        <v>1362</v>
      </c>
      <c r="C82" s="710" t="s">
        <v>157</v>
      </c>
      <c r="D82" s="710" t="s">
        <v>136</v>
      </c>
      <c r="E82" s="710"/>
      <c r="F82" s="30"/>
      <c r="I82" s="490" t="str">
        <f>+Print_Mois!C321</f>
        <v>Carrosserie Concessions</v>
      </c>
    </row>
    <row r="83" spans="1:9" ht="15" customHeight="1">
      <c r="A83" t="s">
        <v>1363</v>
      </c>
      <c r="B83" t="s">
        <v>1364</v>
      </c>
      <c r="C83" s="710" t="s">
        <v>176</v>
      </c>
      <c r="D83" s="710" t="s">
        <v>136</v>
      </c>
      <c r="E83" s="710"/>
      <c r="F83" s="30"/>
      <c r="I83" s="490" t="str">
        <f>Print_Mois!C249</f>
        <v>M/O Garantie</v>
      </c>
    </row>
    <row r="84" spans="1:9" ht="15" customHeight="1">
      <c r="A84" t="s">
        <v>1367</v>
      </c>
      <c r="B84" t="s">
        <v>1368</v>
      </c>
      <c r="C84" s="710" t="s">
        <v>88</v>
      </c>
      <c r="D84" s="710" t="s">
        <v>138</v>
      </c>
      <c r="E84" s="710"/>
      <c r="F84" s="30"/>
      <c r="I84" s="490" t="s">
        <v>22</v>
      </c>
    </row>
    <row r="85" spans="1:9" ht="15" customHeight="1">
      <c r="A85" t="s">
        <v>1369</v>
      </c>
      <c r="B85" t="s">
        <v>1370</v>
      </c>
      <c r="C85" s="710" t="s">
        <v>148</v>
      </c>
      <c r="D85" s="710" t="s">
        <v>138</v>
      </c>
      <c r="E85" s="710"/>
      <c r="F85" s="30"/>
      <c r="I85" s="490" t="s">
        <v>665</v>
      </c>
    </row>
    <row r="86" spans="1:9" ht="15" customHeight="1">
      <c r="A86" t="s">
        <v>1371</v>
      </c>
      <c r="B86" t="s">
        <v>1372</v>
      </c>
      <c r="C86" s="710" t="s">
        <v>1162</v>
      </c>
      <c r="D86" s="710" t="s">
        <v>138</v>
      </c>
      <c r="E86" s="710"/>
      <c r="F86" s="30"/>
      <c r="I86" s="490" t="s">
        <v>71</v>
      </c>
    </row>
    <row r="87" spans="1:9" ht="15" customHeight="1">
      <c r="A87" t="s">
        <v>1373</v>
      </c>
      <c r="B87" t="s">
        <v>1374</v>
      </c>
      <c r="C87" s="710" t="s">
        <v>157</v>
      </c>
      <c r="D87" s="710" t="s">
        <v>138</v>
      </c>
      <c r="E87" s="710"/>
      <c r="F87" s="30"/>
      <c r="I87" s="490" t="str">
        <f>Print_Mois!C95</f>
        <v>Non Certifié</v>
      </c>
    </row>
    <row r="88" spans="1:9" ht="15" customHeight="1">
      <c r="A88" t="s">
        <v>1375</v>
      </c>
      <c r="B88" t="s">
        <v>1376</v>
      </c>
      <c r="C88" s="710" t="s">
        <v>172</v>
      </c>
      <c r="D88" s="710" t="s">
        <v>138</v>
      </c>
      <c r="E88" s="710"/>
      <c r="F88" s="30"/>
      <c r="I88" s="490"/>
    </row>
    <row r="89" spans="1:9" ht="15" customHeight="1">
      <c r="A89" t="s">
        <v>1377</v>
      </c>
      <c r="B89" t="s">
        <v>1378</v>
      </c>
      <c r="C89" s="710" t="s">
        <v>176</v>
      </c>
      <c r="D89" s="710" t="s">
        <v>138</v>
      </c>
      <c r="E89" s="710"/>
      <c r="F89" s="30"/>
      <c r="I89" s="490"/>
    </row>
    <row r="90" spans="1:9" ht="15" customHeight="1">
      <c r="A90" t="s">
        <v>1381</v>
      </c>
      <c r="B90" t="s">
        <v>1382</v>
      </c>
      <c r="C90" s="710" t="s">
        <v>88</v>
      </c>
      <c r="D90" s="710" t="s">
        <v>133</v>
      </c>
      <c r="E90" s="710"/>
      <c r="F90" s="30"/>
      <c r="I90" s="490" t="str">
        <f>Print_Mois!C373</f>
        <v>P/A Garantie</v>
      </c>
    </row>
    <row r="91" spans="1:9" ht="15" customHeight="1">
      <c r="A91" t="s">
        <v>1383</v>
      </c>
      <c r="B91" t="s">
        <v>1384</v>
      </c>
      <c r="C91" s="710" t="s">
        <v>148</v>
      </c>
      <c r="D91" s="710" t="s">
        <v>133</v>
      </c>
      <c r="E91" s="710"/>
      <c r="F91" s="30"/>
      <c r="I91" s="490" t="str">
        <f>Print_Mois!V530</f>
        <v>Papeterie</v>
      </c>
    </row>
    <row r="92" spans="1:9" ht="15" customHeight="1">
      <c r="A92" t="s">
        <v>1385</v>
      </c>
      <c r="B92" t="s">
        <v>1386</v>
      </c>
      <c r="C92" s="710" t="s">
        <v>1162</v>
      </c>
      <c r="D92" s="710" t="s">
        <v>133</v>
      </c>
      <c r="E92" s="710"/>
      <c r="F92" s="30"/>
      <c r="I92" s="490"/>
    </row>
    <row r="93" spans="1:9" ht="15" customHeight="1">
      <c r="A93" t="s">
        <v>1387</v>
      </c>
      <c r="B93" t="s">
        <v>1388</v>
      </c>
      <c r="C93" s="710" t="s">
        <v>157</v>
      </c>
      <c r="D93" s="710" t="s">
        <v>133</v>
      </c>
      <c r="E93" s="710"/>
      <c r="F93" s="30"/>
      <c r="I93" s="490" t="str">
        <f>Print_Mois!C372</f>
        <v>Pièces Ro Carrosserie</v>
      </c>
    </row>
    <row r="94" spans="1:9" ht="15" customHeight="1">
      <c r="A94" t="s">
        <v>1389</v>
      </c>
      <c r="B94" t="s">
        <v>1390</v>
      </c>
      <c r="C94" s="710" t="s">
        <v>172</v>
      </c>
      <c r="D94" s="710" t="s">
        <v>133</v>
      </c>
      <c r="E94" s="710"/>
      <c r="F94" s="30"/>
      <c r="I94" s="490"/>
    </row>
    <row r="95" spans="1:9" ht="15" customHeight="1">
      <c r="A95" t="s">
        <v>1391</v>
      </c>
      <c r="B95" t="s">
        <v>1392</v>
      </c>
      <c r="C95" s="710" t="s">
        <v>176</v>
      </c>
      <c r="D95" s="710" t="s">
        <v>133</v>
      </c>
      <c r="E95" s="710"/>
      <c r="F95" s="30"/>
      <c r="I95" s="490" t="str">
        <f>Print_Mois!C371</f>
        <v>Pièces Ro Clients</v>
      </c>
    </row>
    <row r="96" spans="1:9" ht="15" customHeight="1">
      <c r="A96" t="s">
        <v>1395</v>
      </c>
      <c r="B96" t="s">
        <v>1396</v>
      </c>
      <c r="C96" s="710" t="s">
        <v>88</v>
      </c>
      <c r="D96" s="710" t="s">
        <v>131</v>
      </c>
      <c r="E96" s="710"/>
      <c r="F96" s="30"/>
      <c r="I96" s="490" t="s">
        <v>24</v>
      </c>
    </row>
    <row r="97" spans="1:9" ht="15" customHeight="1">
      <c r="A97" t="s">
        <v>1397</v>
      </c>
      <c r="B97" t="s">
        <v>1398</v>
      </c>
      <c r="C97" s="710" t="s">
        <v>148</v>
      </c>
      <c r="D97" s="710" t="s">
        <v>131</v>
      </c>
      <c r="E97" s="710"/>
      <c r="F97" s="30"/>
      <c r="I97" s="490" t="str">
        <f>Print_Mois!V558</f>
        <v>Programme Excellence</v>
      </c>
    </row>
    <row r="98" spans="1:9" ht="15" customHeight="1">
      <c r="A98" t="s">
        <v>1399</v>
      </c>
      <c r="B98" t="s">
        <v>1400</v>
      </c>
      <c r="C98" s="710" t="s">
        <v>1162</v>
      </c>
      <c r="D98" s="710" t="s">
        <v>131</v>
      </c>
      <c r="E98" s="710"/>
      <c r="F98" s="30"/>
      <c r="I98" s="490" t="s">
        <v>37</v>
      </c>
    </row>
    <row r="99" spans="1:9" ht="15" customHeight="1">
      <c r="A99" t="s">
        <v>1401</v>
      </c>
      <c r="B99" t="s">
        <v>1402</v>
      </c>
      <c r="C99" s="710" t="s">
        <v>157</v>
      </c>
      <c r="D99" s="710" t="s">
        <v>131</v>
      </c>
      <c r="E99" s="710"/>
      <c r="F99" s="30"/>
      <c r="I99" s="490"/>
    </row>
    <row r="100" spans="1:9" ht="15" customHeight="1">
      <c r="A100" s="938" t="s">
        <v>1403</v>
      </c>
      <c r="B100" s="938" t="s">
        <v>1404</v>
      </c>
      <c r="C100" s="939" t="s">
        <v>172</v>
      </c>
      <c r="D100" s="939" t="s">
        <v>1173</v>
      </c>
      <c r="E100" s="939"/>
      <c r="F100" s="30"/>
      <c r="I100" s="490" t="str">
        <f>Print_Mois!V559</f>
        <v>Programme neuf 2</v>
      </c>
    </row>
    <row r="101" spans="1:9" ht="15" customHeight="1">
      <c r="A101" t="s">
        <v>1405</v>
      </c>
      <c r="B101" t="s">
        <v>1406</v>
      </c>
      <c r="C101" s="710" t="s">
        <v>176</v>
      </c>
      <c r="D101" s="710" t="s">
        <v>131</v>
      </c>
      <c r="E101" s="710"/>
      <c r="F101" s="30"/>
      <c r="I101" s="490" t="str">
        <f>Print_Mois!V560</f>
        <v>Programme neuf 3</v>
      </c>
    </row>
    <row r="102" spans="1:9" ht="15" customHeight="1">
      <c r="A102" s="937" t="s">
        <v>1407</v>
      </c>
      <c r="B102" s="937" t="s">
        <v>1408</v>
      </c>
      <c r="C102" s="940" t="s">
        <v>157</v>
      </c>
      <c r="D102" s="940" t="s">
        <v>131</v>
      </c>
      <c r="E102" s="940"/>
      <c r="F102" s="30"/>
      <c r="I102" s="490" t="s">
        <v>112</v>
      </c>
    </row>
    <row r="103" spans="1:9" ht="15" customHeight="1">
      <c r="A103" t="s">
        <v>1411</v>
      </c>
      <c r="B103" t="s">
        <v>1412</v>
      </c>
      <c r="C103" s="710" t="s">
        <v>88</v>
      </c>
      <c r="D103" s="710" t="s">
        <v>112</v>
      </c>
      <c r="E103" s="710"/>
      <c r="F103" s="30"/>
      <c r="I103" s="490">
        <f>Print_Mois!C19</f>
        <v>0</v>
      </c>
    </row>
    <row r="104" spans="1:9" ht="15" customHeight="1">
      <c r="A104" t="s">
        <v>1413</v>
      </c>
      <c r="B104" t="s">
        <v>1412</v>
      </c>
      <c r="C104" s="710" t="s">
        <v>148</v>
      </c>
      <c r="D104" s="710" t="s">
        <v>112</v>
      </c>
      <c r="E104" s="710"/>
      <c r="F104" s="30"/>
      <c r="I104" s="490" t="s">
        <v>38</v>
      </c>
    </row>
    <row r="105" spans="1:9" ht="15" customHeight="1">
      <c r="A105" t="s">
        <v>1414</v>
      </c>
      <c r="B105" t="s">
        <v>1415</v>
      </c>
      <c r="C105" s="710" t="s">
        <v>1162</v>
      </c>
      <c r="D105" s="710" t="s">
        <v>112</v>
      </c>
      <c r="E105" s="710"/>
      <c r="F105" s="30"/>
      <c r="I105" s="490"/>
    </row>
    <row r="106" spans="1:9" ht="15" customHeight="1">
      <c r="A106" t="s">
        <v>1416</v>
      </c>
      <c r="B106" t="s">
        <v>1412</v>
      </c>
      <c r="C106" s="710" t="s">
        <v>157</v>
      </c>
      <c r="D106" s="710" t="s">
        <v>125</v>
      </c>
      <c r="E106" s="710"/>
      <c r="F106" s="30"/>
      <c r="I106" s="490" t="s">
        <v>34</v>
      </c>
    </row>
    <row r="107" spans="1:9" ht="15" customHeight="1">
      <c r="A107" t="s">
        <v>1417</v>
      </c>
      <c r="B107" t="s">
        <v>1412</v>
      </c>
      <c r="C107" s="710" t="s">
        <v>172</v>
      </c>
      <c r="D107" s="710" t="s">
        <v>125</v>
      </c>
      <c r="E107" s="710"/>
      <c r="F107" s="30"/>
      <c r="I107" s="490" t="s">
        <v>25</v>
      </c>
    </row>
    <row r="108" spans="1:9" ht="15" customHeight="1">
      <c r="A108" t="s">
        <v>1418</v>
      </c>
      <c r="B108" t="s">
        <v>1412</v>
      </c>
      <c r="C108" s="710" t="s">
        <v>176</v>
      </c>
      <c r="D108" s="710" t="s">
        <v>125</v>
      </c>
      <c r="E108" s="710"/>
      <c r="F108" s="30"/>
      <c r="I108" s="490" t="s">
        <v>25</v>
      </c>
    </row>
    <row r="109" spans="1:9" ht="15" customHeight="1">
      <c r="A109" t="s">
        <v>1419</v>
      </c>
      <c r="B109" t="s">
        <v>1420</v>
      </c>
      <c r="C109" s="710" t="s">
        <v>88</v>
      </c>
      <c r="D109" s="710" t="s">
        <v>112</v>
      </c>
      <c r="E109" s="710"/>
      <c r="F109" s="30"/>
      <c r="I109" s="490" t="s">
        <v>32</v>
      </c>
    </row>
    <row r="110" spans="1:9" ht="15" customHeight="1">
      <c r="A110" t="s">
        <v>1421</v>
      </c>
      <c r="B110" t="s">
        <v>1420</v>
      </c>
      <c r="C110" s="710" t="s">
        <v>148</v>
      </c>
      <c r="D110" s="710" t="s">
        <v>112</v>
      </c>
      <c r="E110" s="710"/>
      <c r="F110" s="30"/>
      <c r="I110" s="490" t="s">
        <v>30</v>
      </c>
    </row>
    <row r="111" spans="1:9" ht="15" customHeight="1">
      <c r="A111" t="s">
        <v>1422</v>
      </c>
      <c r="B111" t="s">
        <v>1420</v>
      </c>
      <c r="C111" s="710" t="s">
        <v>157</v>
      </c>
      <c r="D111" s="710" t="s">
        <v>125</v>
      </c>
      <c r="E111" s="710"/>
      <c r="F111" s="30"/>
      <c r="I111" s="490" t="s">
        <v>26</v>
      </c>
    </row>
    <row r="112" spans="1:9" ht="15" customHeight="1">
      <c r="A112" t="s">
        <v>1423</v>
      </c>
      <c r="B112" t="s">
        <v>1424</v>
      </c>
      <c r="C112" s="710" t="s">
        <v>172</v>
      </c>
      <c r="D112" s="710" t="s">
        <v>125</v>
      </c>
      <c r="E112" s="710"/>
      <c r="F112" s="30"/>
      <c r="I112" s="490" t="s">
        <v>185</v>
      </c>
    </row>
    <row r="113" spans="1:27" ht="15" customHeight="1">
      <c r="A113" t="s">
        <v>1425</v>
      </c>
      <c r="B113" t="s">
        <v>1420</v>
      </c>
      <c r="C113" s="710" t="s">
        <v>176</v>
      </c>
      <c r="D113" s="710" t="s">
        <v>125</v>
      </c>
      <c r="E113" s="710"/>
      <c r="F113" s="30"/>
      <c r="I113" s="490" t="s">
        <v>36</v>
      </c>
    </row>
    <row r="114" spans="1:27" ht="15" customHeight="1">
      <c r="A114" t="s">
        <v>1426</v>
      </c>
      <c r="B114" s="706" t="s">
        <v>1427</v>
      </c>
      <c r="C114" s="710" t="s">
        <v>1161</v>
      </c>
      <c r="D114" s="710" t="s">
        <v>125</v>
      </c>
      <c r="E114" s="710"/>
      <c r="F114" s="30"/>
      <c r="I114" s="490" t="str">
        <f>Print_Mois!V547</f>
        <v>Réparation équipement</v>
      </c>
    </row>
    <row r="115" spans="1:27" ht="15" customHeight="1">
      <c r="A115" t="s">
        <v>1431</v>
      </c>
      <c r="B115" t="s">
        <v>1432</v>
      </c>
      <c r="C115" s="710" t="s">
        <v>88</v>
      </c>
      <c r="D115" s="710" t="s">
        <v>112</v>
      </c>
      <c r="E115" s="710"/>
      <c r="F115" s="30"/>
      <c r="I115" s="490" t="str">
        <f>Print_Mois!C24</f>
        <v>Total F&amp;I</v>
      </c>
    </row>
    <row r="116" spans="1:27" ht="15" customHeight="1">
      <c r="A116" t="s">
        <v>1433</v>
      </c>
      <c r="B116" t="s">
        <v>1434</v>
      </c>
      <c r="C116" s="710" t="s">
        <v>148</v>
      </c>
      <c r="D116" s="710" t="s">
        <v>112</v>
      </c>
      <c r="E116" s="710"/>
      <c r="F116" s="30"/>
      <c r="I116" s="490" t="str">
        <f>Print_Mois!C21</f>
        <v>Rev. Finances</v>
      </c>
    </row>
    <row r="117" spans="1:27" ht="15" customHeight="1">
      <c r="A117" t="s">
        <v>1435</v>
      </c>
      <c r="B117" t="s">
        <v>1436</v>
      </c>
      <c r="C117" s="710" t="s">
        <v>1162</v>
      </c>
      <c r="D117" s="710" t="s">
        <v>112</v>
      </c>
      <c r="E117" s="710"/>
      <c r="F117" s="30"/>
      <c r="I117" s="490" t="str">
        <f>Print_Mois!C22</f>
        <v>Rev. Protections</v>
      </c>
    </row>
    <row r="118" spans="1:27" ht="15" customHeight="1">
      <c r="A118" t="s">
        <v>1437</v>
      </c>
      <c r="B118" t="s">
        <v>1438</v>
      </c>
      <c r="C118" s="710" t="s">
        <v>157</v>
      </c>
      <c r="D118" s="710" t="s">
        <v>125</v>
      </c>
      <c r="E118" s="710"/>
      <c r="F118" s="30"/>
      <c r="I118" s="490" t="str">
        <f>Print_Mois!V556</f>
        <v>Revenus autres</v>
      </c>
    </row>
    <row r="119" spans="1:27" ht="15" customHeight="1">
      <c r="A119" t="s">
        <v>1439</v>
      </c>
      <c r="B119" t="s">
        <v>1440</v>
      </c>
      <c r="C119" s="710" t="s">
        <v>172</v>
      </c>
      <c r="D119" s="710" t="s">
        <v>125</v>
      </c>
      <c r="E119" s="710"/>
      <c r="F119" s="30"/>
      <c r="I119" s="490" t="s">
        <v>49</v>
      </c>
    </row>
    <row r="120" spans="1:27" ht="15" customHeight="1">
      <c r="A120" t="s">
        <v>1441</v>
      </c>
      <c r="B120" t="s">
        <v>1442</v>
      </c>
      <c r="C120" s="710" t="s">
        <v>176</v>
      </c>
      <c r="D120" s="710" t="s">
        <v>125</v>
      </c>
      <c r="E120" s="710"/>
      <c r="F120" s="30"/>
      <c r="I120" s="490" t="str">
        <f>Print_Mois!V510</f>
        <v>Salaires autres</v>
      </c>
    </row>
    <row r="121" spans="1:27" ht="15" customHeight="1">
      <c r="A121" t="s">
        <v>1445</v>
      </c>
      <c r="B121" t="s">
        <v>1446</v>
      </c>
      <c r="C121" s="710" t="s">
        <v>88</v>
      </c>
      <c r="D121" s="710" t="s">
        <v>112</v>
      </c>
      <c r="E121" s="710"/>
      <c r="F121" s="30"/>
      <c r="I121" s="490" t="str">
        <f>Print_Mois!C43</f>
        <v>Salaires commis</v>
      </c>
    </row>
    <row r="122" spans="1:27" ht="15" customHeight="1">
      <c r="A122" t="s">
        <v>1447</v>
      </c>
      <c r="B122" t="s">
        <v>1448</v>
      </c>
      <c r="C122" s="710" t="s">
        <v>148</v>
      </c>
      <c r="D122" s="710" t="s">
        <v>112</v>
      </c>
      <c r="E122" s="710"/>
      <c r="F122" s="30"/>
      <c r="I122" s="490" t="str">
        <f>Print_Mois!V509</f>
        <v>Salaires commis</v>
      </c>
    </row>
    <row r="123" spans="1:27" ht="15" customHeight="1">
      <c r="A123" t="s">
        <v>1449</v>
      </c>
      <c r="B123" t="s">
        <v>1450</v>
      </c>
      <c r="C123" s="710" t="s">
        <v>157</v>
      </c>
      <c r="D123" s="710" t="s">
        <v>125</v>
      </c>
      <c r="E123" s="710"/>
      <c r="F123" s="30"/>
      <c r="I123" s="490" t="str">
        <f>Print_Mois!V515</f>
        <v>Salaires en absences</v>
      </c>
    </row>
    <row r="124" spans="1:27" ht="15" customHeight="1">
      <c r="A124" t="s">
        <v>1451</v>
      </c>
      <c r="B124" t="s">
        <v>1452</v>
      </c>
      <c r="C124" s="710" t="s">
        <v>172</v>
      </c>
      <c r="D124" s="710" t="s">
        <v>125</v>
      </c>
      <c r="E124" s="710"/>
      <c r="F124" s="30"/>
      <c r="I124" s="490" t="str">
        <f>Print_Mois!V507</f>
        <v>Salaires propriétaire</v>
      </c>
    </row>
    <row r="125" spans="1:27" ht="15" customHeight="1">
      <c r="A125" t="s">
        <v>1453</v>
      </c>
      <c r="B125" s="706" t="s">
        <v>1454</v>
      </c>
      <c r="C125" s="710" t="s">
        <v>176</v>
      </c>
      <c r="D125" s="710" t="s">
        <v>125</v>
      </c>
      <c r="E125" s="710"/>
      <c r="F125" s="30"/>
      <c r="I125" s="490" t="str">
        <f>Print_Mois!V511</f>
        <v>Salaires spécialistes</v>
      </c>
    </row>
    <row r="126" spans="1:27" ht="15" customHeight="1">
      <c r="A126" t="s">
        <v>1455</v>
      </c>
      <c r="B126" t="s">
        <v>1456</v>
      </c>
      <c r="C126" s="710" t="s">
        <v>157</v>
      </c>
      <c r="D126" s="710" t="s">
        <v>126</v>
      </c>
      <c r="E126" s="710"/>
      <c r="F126" s="30"/>
      <c r="I126" s="490" t="str">
        <f>Print_Mois!C34</f>
        <v>Service gratuit 1</v>
      </c>
    </row>
    <row r="127" spans="1:27" ht="15" customHeight="1">
      <c r="A127" t="s">
        <v>1457</v>
      </c>
      <c r="B127" t="s">
        <v>1458</v>
      </c>
      <c r="C127" s="710" t="s">
        <v>172</v>
      </c>
      <c r="D127" s="710" t="s">
        <v>126</v>
      </c>
      <c r="E127" s="710"/>
      <c r="F127" s="30"/>
      <c r="I127" s="490" t="str">
        <f>Print_Mois!V522</f>
        <v>Service gratuit 2</v>
      </c>
    </row>
    <row r="128" spans="1:27" ht="15" customHeight="1">
      <c r="A128" t="s">
        <v>1459</v>
      </c>
      <c r="B128" t="s">
        <v>1460</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1463</v>
      </c>
      <c r="B129" t="s">
        <v>1464</v>
      </c>
      <c r="C129" s="710" t="s">
        <v>88</v>
      </c>
      <c r="D129" s="710" t="s">
        <v>128</v>
      </c>
      <c r="E129" s="710"/>
      <c r="F129" s="30"/>
      <c r="I129" s="490" t="str">
        <f>Print_Mois!C262</f>
        <v>Sous-traitement</v>
      </c>
    </row>
    <row r="130" spans="1:9" ht="15" customHeight="1">
      <c r="A130" t="s">
        <v>1465</v>
      </c>
      <c r="B130" t="s">
        <v>1466</v>
      </c>
      <c r="C130" s="710" t="s">
        <v>148</v>
      </c>
      <c r="D130" s="710" t="s">
        <v>128</v>
      </c>
      <c r="E130" s="710"/>
      <c r="F130" s="30"/>
      <c r="I130" s="490" t="s">
        <v>125</v>
      </c>
    </row>
    <row r="131" spans="1:9" ht="15" customHeight="1">
      <c r="A131" t="s">
        <v>1467</v>
      </c>
      <c r="B131" t="s">
        <v>1468</v>
      </c>
      <c r="C131" s="710" t="s">
        <v>1162</v>
      </c>
      <c r="D131" s="710" t="s">
        <v>128</v>
      </c>
      <c r="E131" s="710"/>
      <c r="F131" s="30"/>
      <c r="I131" s="490" t="s">
        <v>95</v>
      </c>
    </row>
    <row r="132" spans="1:9" ht="15" customHeight="1">
      <c r="A132" t="s">
        <v>1469</v>
      </c>
      <c r="B132" t="s">
        <v>1470</v>
      </c>
      <c r="C132" s="710" t="s">
        <v>157</v>
      </c>
      <c r="D132" s="710" t="s">
        <v>128</v>
      </c>
      <c r="E132" s="710"/>
      <c r="F132" s="30"/>
      <c r="I132" s="490" t="s">
        <v>202</v>
      </c>
    </row>
    <row r="133" spans="1:9" ht="15" customHeight="1">
      <c r="A133" t="s">
        <v>1471</v>
      </c>
      <c r="B133" t="s">
        <v>1472</v>
      </c>
      <c r="C133" s="710" t="s">
        <v>172</v>
      </c>
      <c r="D133" s="710" t="s">
        <v>128</v>
      </c>
      <c r="E133" s="710"/>
      <c r="F133" s="30"/>
      <c r="I133" s="490" t="s">
        <v>203</v>
      </c>
    </row>
    <row r="134" spans="1:9" ht="15" customHeight="1">
      <c r="A134" t="s">
        <v>1473</v>
      </c>
      <c r="B134" t="s">
        <v>1474</v>
      </c>
      <c r="C134" s="710" t="s">
        <v>176</v>
      </c>
      <c r="D134" s="710" t="s">
        <v>128</v>
      </c>
      <c r="E134" s="710"/>
      <c r="F134" s="30"/>
      <c r="I134" s="490" t="str">
        <f>Print_Mois!V543</f>
        <v>Taxe sur le capital</v>
      </c>
    </row>
    <row r="135" spans="1:9" ht="15" customHeight="1">
      <c r="A135" t="s">
        <v>1475</v>
      </c>
      <c r="B135" s="706" t="s">
        <v>1476</v>
      </c>
      <c r="C135" s="710" t="s">
        <v>1161</v>
      </c>
      <c r="D135" s="710" t="s">
        <v>128</v>
      </c>
      <c r="E135" s="710"/>
      <c r="F135" s="30"/>
      <c r="I135" s="490" t="s">
        <v>31</v>
      </c>
    </row>
    <row r="136" spans="1:9" ht="15" customHeight="1">
      <c r="A136" t="s">
        <v>1481</v>
      </c>
      <c r="B136" t="s">
        <v>1482</v>
      </c>
      <c r="C136" s="710" t="s">
        <v>88</v>
      </c>
      <c r="D136" s="710" t="s">
        <v>130</v>
      </c>
      <c r="E136" s="710"/>
      <c r="F136" s="30"/>
      <c r="I136" s="490" t="s">
        <v>132</v>
      </c>
    </row>
    <row r="137" spans="1:9" ht="15" customHeight="1">
      <c r="A137" t="s">
        <v>1483</v>
      </c>
      <c r="B137" t="s">
        <v>1484</v>
      </c>
      <c r="C137" s="710" t="s">
        <v>148</v>
      </c>
      <c r="D137" s="710" t="s">
        <v>130</v>
      </c>
      <c r="E137" s="710"/>
      <c r="F137" s="30"/>
      <c r="I137" s="490" t="str">
        <f>Print_Mois!C101</f>
        <v>Ventes au Gros</v>
      </c>
    </row>
    <row r="138" spans="1:9" ht="15" customHeight="1">
      <c r="A138" t="s">
        <v>1485</v>
      </c>
      <c r="B138" t="s">
        <v>1486</v>
      </c>
      <c r="C138" s="710" t="s">
        <v>1162</v>
      </c>
      <c r="D138" s="710" t="s">
        <v>130</v>
      </c>
      <c r="E138" s="710"/>
      <c r="F138" s="30"/>
      <c r="I138" s="490"/>
    </row>
    <row r="139" spans="1:9" ht="15" customHeight="1">
      <c r="A139" t="s">
        <v>1487</v>
      </c>
      <c r="B139" t="s">
        <v>1488</v>
      </c>
      <c r="C139" s="710" t="s">
        <v>157</v>
      </c>
      <c r="D139" s="710" t="s">
        <v>130</v>
      </c>
      <c r="E139" s="710"/>
      <c r="F139" s="30"/>
      <c r="I139" s="490" t="str">
        <f>Print_Mois!C376</f>
        <v>Ventes de Gros</v>
      </c>
    </row>
    <row r="140" spans="1:9" ht="15" customHeight="1">
      <c r="A140" t="s">
        <v>1489</v>
      </c>
      <c r="B140" t="s">
        <v>1490</v>
      </c>
      <c r="C140" s="710" t="s">
        <v>172</v>
      </c>
      <c r="D140" s="710" t="s">
        <v>130</v>
      </c>
      <c r="E140" s="710"/>
      <c r="F140" s="30"/>
      <c r="I140" s="490" t="s">
        <v>182</v>
      </c>
    </row>
    <row r="141" spans="1:9" ht="15" customHeight="1">
      <c r="A141" t="s">
        <v>1491</v>
      </c>
      <c r="B141" t="s">
        <v>1492</v>
      </c>
      <c r="C141" s="710" t="s">
        <v>176</v>
      </c>
      <c r="D141" s="710" t="s">
        <v>130</v>
      </c>
      <c r="E141" s="710"/>
      <c r="F141" s="30"/>
      <c r="I141" s="490" t="str">
        <f>Print_Mois!C374</f>
        <v>Ventes Internes</v>
      </c>
    </row>
    <row r="142" spans="1:9" ht="15" customHeight="1">
      <c r="A142" t="s">
        <v>1493</v>
      </c>
      <c r="B142" t="s">
        <v>1494</v>
      </c>
      <c r="C142" s="710" t="s">
        <v>1161</v>
      </c>
      <c r="D142" s="710" t="s">
        <v>130</v>
      </c>
      <c r="E142" s="710"/>
      <c r="F142" s="30"/>
      <c r="I142" s="490"/>
    </row>
    <row r="143" spans="1:9" ht="15" customHeight="1">
      <c r="A143" s="937" t="s">
        <v>1499</v>
      </c>
      <c r="B143" s="937" t="s">
        <v>1500</v>
      </c>
      <c r="C143" s="940" t="s">
        <v>88</v>
      </c>
      <c r="D143" s="940" t="s">
        <v>129</v>
      </c>
      <c r="E143" s="940"/>
      <c r="F143" s="30"/>
      <c r="I143" s="490"/>
    </row>
    <row r="144" spans="1:9" ht="15" customHeight="1">
      <c r="A144" t="s">
        <v>1501</v>
      </c>
      <c r="B144" t="s">
        <v>1502</v>
      </c>
      <c r="C144" s="710" t="s">
        <v>88</v>
      </c>
      <c r="D144" s="710" t="s">
        <v>129</v>
      </c>
      <c r="E144" s="710"/>
      <c r="F144" s="30"/>
    </row>
    <row r="145" spans="1:9" ht="15" customHeight="1">
      <c r="A145" t="s">
        <v>1503</v>
      </c>
      <c r="B145" t="s">
        <v>1504</v>
      </c>
      <c r="C145" s="710" t="s">
        <v>88</v>
      </c>
      <c r="D145" s="710" t="s">
        <v>129</v>
      </c>
      <c r="E145" s="710"/>
      <c r="F145" s="30"/>
    </row>
    <row r="146" spans="1:9" ht="15" customHeight="1">
      <c r="A146" t="s">
        <v>1505</v>
      </c>
      <c r="B146" t="s">
        <v>1506</v>
      </c>
      <c r="C146" s="710" t="s">
        <v>148</v>
      </c>
      <c r="D146" s="710" t="s">
        <v>129</v>
      </c>
      <c r="E146" s="710"/>
      <c r="F146" s="30"/>
    </row>
    <row r="147" spans="1:9" ht="15" customHeight="1">
      <c r="A147" t="s">
        <v>1507</v>
      </c>
      <c r="B147" t="s">
        <v>1508</v>
      </c>
      <c r="C147" s="710" t="s">
        <v>148</v>
      </c>
      <c r="D147" s="710" t="s">
        <v>129</v>
      </c>
      <c r="E147" s="710"/>
      <c r="F147" s="30"/>
    </row>
    <row r="148" spans="1:9" ht="15" customHeight="1">
      <c r="A148" t="s">
        <v>1509</v>
      </c>
      <c r="B148" t="s">
        <v>1510</v>
      </c>
      <c r="C148" s="710" t="s">
        <v>1162</v>
      </c>
      <c r="D148" s="710" t="s">
        <v>129</v>
      </c>
      <c r="E148" s="710"/>
      <c r="F148" s="3"/>
    </row>
    <row r="149" spans="1:9" ht="15" customHeight="1">
      <c r="A149" t="s">
        <v>1511</v>
      </c>
      <c r="B149" t="s">
        <v>1512</v>
      </c>
      <c r="C149" s="710" t="s">
        <v>1162</v>
      </c>
      <c r="D149" s="710" t="s">
        <v>129</v>
      </c>
      <c r="E149" s="710"/>
      <c r="F149" s="3"/>
    </row>
    <row r="150" spans="1:9" ht="15" customHeight="1">
      <c r="A150" t="s">
        <v>1513</v>
      </c>
      <c r="B150" t="s">
        <v>1514</v>
      </c>
      <c r="C150" s="710" t="s">
        <v>157</v>
      </c>
      <c r="D150" s="710" t="s">
        <v>129</v>
      </c>
      <c r="E150" s="710"/>
      <c r="F150" s="3"/>
    </row>
    <row r="151" spans="1:9" ht="15" customHeight="1">
      <c r="A151" t="s">
        <v>1515</v>
      </c>
      <c r="B151" t="s">
        <v>1516</v>
      </c>
      <c r="C151" s="710" t="s">
        <v>157</v>
      </c>
      <c r="D151" s="710" t="s">
        <v>129</v>
      </c>
      <c r="E151" s="710"/>
      <c r="F151" s="3"/>
    </row>
    <row r="152" spans="1:9" ht="15" customHeight="1">
      <c r="A152" t="s">
        <v>1517</v>
      </c>
      <c r="B152" t="s">
        <v>1518</v>
      </c>
      <c r="C152" s="710" t="s">
        <v>172</v>
      </c>
      <c r="D152" s="710" t="s">
        <v>129</v>
      </c>
      <c r="E152" s="710"/>
      <c r="F152" s="3"/>
    </row>
    <row r="153" spans="1:9" ht="15" customHeight="1">
      <c r="A153" t="s">
        <v>1519</v>
      </c>
      <c r="B153" t="s">
        <v>1520</v>
      </c>
      <c r="C153" s="710" t="s">
        <v>172</v>
      </c>
      <c r="D153" s="710" t="s">
        <v>129</v>
      </c>
      <c r="E153" s="710"/>
      <c r="F153" s="3"/>
    </row>
    <row r="154" spans="1:9" ht="15" customHeight="1">
      <c r="A154" t="s">
        <v>1521</v>
      </c>
      <c r="B154" t="s">
        <v>1522</v>
      </c>
      <c r="C154" s="710" t="s">
        <v>176</v>
      </c>
      <c r="D154" s="710" t="s">
        <v>129</v>
      </c>
      <c r="E154" s="710"/>
      <c r="F154" s="3"/>
    </row>
    <row r="155" spans="1:9" ht="15" customHeight="1">
      <c r="A155" t="s">
        <v>1523</v>
      </c>
      <c r="B155" t="s">
        <v>1524</v>
      </c>
      <c r="C155" s="710" t="s">
        <v>176</v>
      </c>
      <c r="D155" s="710" t="s">
        <v>129</v>
      </c>
      <c r="E155" s="710"/>
      <c r="F155" s="3"/>
    </row>
    <row r="156" spans="1:9" ht="15" customHeight="1">
      <c r="A156" t="s">
        <v>1527</v>
      </c>
      <c r="B156" t="s">
        <v>1528</v>
      </c>
      <c r="C156" s="710" t="s">
        <v>88</v>
      </c>
      <c r="D156" s="710" t="s">
        <v>136</v>
      </c>
      <c r="E156" s="710"/>
      <c r="F156" s="3"/>
    </row>
    <row r="157" spans="1:9" ht="15" customHeight="1">
      <c r="A157" t="s">
        <v>1529</v>
      </c>
      <c r="B157" t="s">
        <v>1530</v>
      </c>
      <c r="C157" s="710" t="s">
        <v>148</v>
      </c>
      <c r="D157" s="710" t="s">
        <v>136</v>
      </c>
      <c r="E157" s="710"/>
      <c r="F157" s="3"/>
    </row>
    <row r="158" spans="1:9" ht="15" customHeight="1">
      <c r="A158" t="s">
        <v>1531</v>
      </c>
      <c r="B158" t="s">
        <v>1532</v>
      </c>
      <c r="C158" s="710" t="s">
        <v>157</v>
      </c>
      <c r="D158" s="710" t="s">
        <v>136</v>
      </c>
      <c r="E158" s="710"/>
      <c r="F158" s="3"/>
    </row>
    <row r="159" spans="1:9" ht="15" customHeight="1">
      <c r="A159" t="s">
        <v>1533</v>
      </c>
      <c r="B159" t="s">
        <v>1534</v>
      </c>
      <c r="C159" s="710" t="s">
        <v>172</v>
      </c>
      <c r="D159" s="710" t="s">
        <v>136</v>
      </c>
      <c r="E159" s="710"/>
      <c r="F159" s="3"/>
    </row>
    <row r="160" spans="1:9" ht="15" customHeight="1">
      <c r="A160" t="s">
        <v>1537</v>
      </c>
      <c r="B160" t="s">
        <v>1538</v>
      </c>
      <c r="C160" s="710" t="s">
        <v>176</v>
      </c>
      <c r="D160" s="710" t="s">
        <v>136</v>
      </c>
      <c r="E160" s="710"/>
      <c r="F160" s="3"/>
      <c r="I160" s="3"/>
    </row>
    <row r="161" spans="1:6" ht="15" customHeight="1">
      <c r="A161" t="s">
        <v>1541</v>
      </c>
      <c r="B161" t="s">
        <v>1542</v>
      </c>
      <c r="C161" s="710" t="s">
        <v>88</v>
      </c>
      <c r="D161" s="710" t="s">
        <v>207</v>
      </c>
      <c r="E161" s="710"/>
      <c r="F161" s="3"/>
    </row>
    <row r="162" spans="1:6" ht="15" customHeight="1">
      <c r="A162" t="s">
        <v>1543</v>
      </c>
      <c r="B162" t="s">
        <v>1544</v>
      </c>
      <c r="C162" s="710" t="s">
        <v>148</v>
      </c>
      <c r="D162" s="710" t="s">
        <v>207</v>
      </c>
      <c r="E162" s="710"/>
      <c r="F162" s="3"/>
    </row>
    <row r="163" spans="1:6" ht="15" customHeight="1">
      <c r="A163" t="s">
        <v>1545</v>
      </c>
      <c r="B163" t="s">
        <v>1546</v>
      </c>
      <c r="C163" s="710" t="s">
        <v>1162</v>
      </c>
      <c r="D163" s="710" t="s">
        <v>207</v>
      </c>
      <c r="E163" s="710"/>
      <c r="F163" s="3"/>
    </row>
    <row r="164" spans="1:6" ht="15" customHeight="1">
      <c r="A164" t="s">
        <v>1547</v>
      </c>
      <c r="B164" t="s">
        <v>1548</v>
      </c>
      <c r="C164" s="710" t="s">
        <v>157</v>
      </c>
      <c r="D164" s="710" t="s">
        <v>207</v>
      </c>
      <c r="E164" s="710"/>
      <c r="F164" s="3"/>
    </row>
    <row r="165" spans="1:6" ht="15" customHeight="1">
      <c r="A165" t="s">
        <v>1549</v>
      </c>
      <c r="B165" t="s">
        <v>1550</v>
      </c>
      <c r="C165" s="710" t="s">
        <v>172</v>
      </c>
      <c r="D165" s="710" t="s">
        <v>207</v>
      </c>
      <c r="E165" s="710"/>
      <c r="F165" s="3"/>
    </row>
    <row r="166" spans="1:6" ht="15" customHeight="1">
      <c r="A166" t="s">
        <v>1551</v>
      </c>
      <c r="B166" t="s">
        <v>1552</v>
      </c>
      <c r="C166" s="710" t="s">
        <v>176</v>
      </c>
      <c r="D166" s="710" t="s">
        <v>207</v>
      </c>
      <c r="E166" s="710"/>
      <c r="F166" s="3"/>
    </row>
    <row r="167" spans="1:6" ht="15" customHeight="1">
      <c r="A167" t="s">
        <v>1555</v>
      </c>
      <c r="B167" t="s">
        <v>1556</v>
      </c>
      <c r="C167" s="710" t="s">
        <v>88</v>
      </c>
      <c r="D167" s="710" t="s">
        <v>134</v>
      </c>
      <c r="E167" s="710"/>
      <c r="F167" s="3"/>
    </row>
    <row r="168" spans="1:6" ht="15" customHeight="1">
      <c r="A168" t="s">
        <v>1557</v>
      </c>
      <c r="B168" t="s">
        <v>1558</v>
      </c>
      <c r="C168" s="710" t="s">
        <v>148</v>
      </c>
      <c r="D168" s="710" t="s">
        <v>134</v>
      </c>
      <c r="E168" s="710"/>
      <c r="F168" s="3"/>
    </row>
    <row r="169" spans="1:6" ht="15" customHeight="1">
      <c r="A169" t="s">
        <v>1559</v>
      </c>
      <c r="B169" t="s">
        <v>1560</v>
      </c>
      <c r="C169" s="710" t="s">
        <v>1162</v>
      </c>
      <c r="D169" s="710" t="s">
        <v>134</v>
      </c>
      <c r="E169" s="710"/>
      <c r="F169" s="3"/>
    </row>
    <row r="170" spans="1:6" ht="15" customHeight="1">
      <c r="A170" t="s">
        <v>1561</v>
      </c>
      <c r="B170" t="s">
        <v>1562</v>
      </c>
      <c r="C170" s="710" t="s">
        <v>157</v>
      </c>
      <c r="D170" s="710" t="s">
        <v>134</v>
      </c>
      <c r="E170" s="710"/>
      <c r="F170" s="3"/>
    </row>
    <row r="171" spans="1:6" ht="15" customHeight="1">
      <c r="A171" t="s">
        <v>1563</v>
      </c>
      <c r="B171" t="s">
        <v>1564</v>
      </c>
      <c r="C171" s="710" t="s">
        <v>172</v>
      </c>
      <c r="D171" s="710" t="s">
        <v>134</v>
      </c>
      <c r="E171" s="710"/>
      <c r="F171" s="3"/>
    </row>
    <row r="172" spans="1:6" ht="15" customHeight="1">
      <c r="A172" t="s">
        <v>1565</v>
      </c>
      <c r="B172" t="s">
        <v>1566</v>
      </c>
      <c r="C172" s="710" t="s">
        <v>176</v>
      </c>
      <c r="D172" s="710" t="s">
        <v>134</v>
      </c>
      <c r="E172" s="710"/>
      <c r="F172" s="3"/>
    </row>
    <row r="173" spans="1:6" ht="15" customHeight="1">
      <c r="A173" t="s">
        <v>1569</v>
      </c>
      <c r="B173" t="s">
        <v>1570</v>
      </c>
      <c r="C173" s="710" t="s">
        <v>88</v>
      </c>
      <c r="D173" s="710" t="s">
        <v>137</v>
      </c>
      <c r="E173" s="710"/>
      <c r="F173" s="3"/>
    </row>
    <row r="174" spans="1:6" ht="15" customHeight="1">
      <c r="A174" t="s">
        <v>1571</v>
      </c>
      <c r="B174" t="s">
        <v>1572</v>
      </c>
      <c r="C174" s="710" t="s">
        <v>148</v>
      </c>
      <c r="D174" s="710" t="s">
        <v>137</v>
      </c>
      <c r="E174" s="710"/>
      <c r="F174" s="3"/>
    </row>
    <row r="175" spans="1:6" ht="15" customHeight="1">
      <c r="A175" t="s">
        <v>1573</v>
      </c>
      <c r="B175" t="s">
        <v>1574</v>
      </c>
      <c r="C175" s="710" t="s">
        <v>1162</v>
      </c>
      <c r="D175" s="710" t="s">
        <v>137</v>
      </c>
      <c r="E175" s="710"/>
      <c r="F175" s="3"/>
    </row>
    <row r="176" spans="1:6" ht="15" customHeight="1">
      <c r="A176" t="s">
        <v>1575</v>
      </c>
      <c r="B176" t="s">
        <v>1576</v>
      </c>
      <c r="C176" s="710" t="s">
        <v>157</v>
      </c>
      <c r="D176" s="710" t="s">
        <v>137</v>
      </c>
      <c r="E176" s="710"/>
      <c r="F176" s="3"/>
    </row>
    <row r="177" spans="1:6" ht="15" customHeight="1">
      <c r="A177" t="s">
        <v>1577</v>
      </c>
      <c r="B177" t="s">
        <v>1578</v>
      </c>
      <c r="C177" s="710" t="s">
        <v>172</v>
      </c>
      <c r="D177" s="710" t="s">
        <v>137</v>
      </c>
      <c r="E177" s="710"/>
      <c r="F177" s="3"/>
    </row>
    <row r="178" spans="1:6" ht="15" customHeight="1">
      <c r="A178" t="s">
        <v>1579</v>
      </c>
      <c r="B178" t="s">
        <v>1580</v>
      </c>
      <c r="C178" s="710" t="s">
        <v>176</v>
      </c>
      <c r="D178" s="710" t="s">
        <v>137</v>
      </c>
      <c r="E178" s="710"/>
      <c r="F178" s="3"/>
    </row>
    <row r="179" spans="1:6" ht="15" customHeight="1">
      <c r="A179" t="s">
        <v>1583</v>
      </c>
      <c r="B179" t="s">
        <v>1584</v>
      </c>
      <c r="C179" s="710" t="s">
        <v>88</v>
      </c>
      <c r="D179" s="710" t="s">
        <v>113</v>
      </c>
      <c r="E179" s="710"/>
      <c r="F179" s="3"/>
    </row>
    <row r="180" spans="1:6" ht="15" customHeight="1">
      <c r="A180" t="s">
        <v>1585</v>
      </c>
      <c r="B180" t="s">
        <v>1586</v>
      </c>
      <c r="C180" s="710" t="s">
        <v>148</v>
      </c>
      <c r="D180" s="710" t="s">
        <v>113</v>
      </c>
      <c r="E180" s="710"/>
      <c r="F180" s="3"/>
    </row>
    <row r="181" spans="1:6" ht="15" customHeight="1">
      <c r="A181" t="s">
        <v>1587</v>
      </c>
      <c r="B181" t="s">
        <v>1588</v>
      </c>
      <c r="C181" s="710" t="s">
        <v>1162</v>
      </c>
      <c r="D181" s="710" t="s">
        <v>113</v>
      </c>
      <c r="E181" s="710"/>
      <c r="F181" s="3"/>
    </row>
    <row r="182" spans="1:6" ht="15" customHeight="1">
      <c r="A182" s="937" t="s">
        <v>1589</v>
      </c>
      <c r="B182" s="937" t="s">
        <v>1590</v>
      </c>
      <c r="C182" s="940" t="s">
        <v>157</v>
      </c>
      <c r="D182" s="940" t="s">
        <v>136</v>
      </c>
      <c r="E182" s="940"/>
      <c r="F182" s="3" t="s">
        <v>3130</v>
      </c>
    </row>
    <row r="183" spans="1:6" ht="15" customHeight="1">
      <c r="A183" t="s">
        <v>1595</v>
      </c>
      <c r="B183" t="s">
        <v>1596</v>
      </c>
      <c r="C183" s="710" t="s">
        <v>88</v>
      </c>
      <c r="D183" s="710" t="s">
        <v>136</v>
      </c>
      <c r="E183" s="710"/>
      <c r="F183" s="3"/>
    </row>
    <row r="184" spans="1:6" ht="15" customHeight="1">
      <c r="A184" t="s">
        <v>1597</v>
      </c>
      <c r="B184" t="s">
        <v>1598</v>
      </c>
      <c r="C184" s="710" t="s">
        <v>148</v>
      </c>
      <c r="D184" s="710" t="s">
        <v>136</v>
      </c>
      <c r="E184" s="710"/>
      <c r="F184" s="3"/>
    </row>
    <row r="185" spans="1:6" ht="15" customHeight="1">
      <c r="A185" t="s">
        <v>1599</v>
      </c>
      <c r="B185" t="s">
        <v>1600</v>
      </c>
      <c r="C185" s="710" t="s">
        <v>1162</v>
      </c>
      <c r="D185" s="710" t="s">
        <v>136</v>
      </c>
      <c r="E185" s="710"/>
      <c r="F185" s="3"/>
    </row>
    <row r="186" spans="1:6" ht="15" customHeight="1">
      <c r="A186" t="s">
        <v>1601</v>
      </c>
      <c r="B186" t="s">
        <v>1602</v>
      </c>
      <c r="C186" s="710" t="s">
        <v>157</v>
      </c>
      <c r="D186" s="710" t="s">
        <v>136</v>
      </c>
      <c r="E186" s="710"/>
      <c r="F186" s="3"/>
    </row>
    <row r="187" spans="1:6" ht="15" customHeight="1">
      <c r="A187" t="s">
        <v>1603</v>
      </c>
      <c r="B187" t="s">
        <v>1604</v>
      </c>
      <c r="C187" s="710" t="s">
        <v>172</v>
      </c>
      <c r="D187" s="710" t="s">
        <v>1173</v>
      </c>
      <c r="E187" s="710"/>
      <c r="F187" s="3"/>
    </row>
    <row r="188" spans="1:6" ht="15" customHeight="1">
      <c r="A188" t="s">
        <v>1605</v>
      </c>
      <c r="B188" t="s">
        <v>1606</v>
      </c>
      <c r="C188" s="710" t="s">
        <v>176</v>
      </c>
      <c r="D188" s="710" t="s">
        <v>136</v>
      </c>
      <c r="E188" s="710"/>
      <c r="F188" s="3"/>
    </row>
    <row r="189" spans="1:6" ht="15" customHeight="1">
      <c r="A189" t="s">
        <v>1607</v>
      </c>
      <c r="B189" s="706" t="s">
        <v>3132</v>
      </c>
      <c r="C189" s="710" t="s">
        <v>1161</v>
      </c>
      <c r="D189" s="710" t="s">
        <v>136</v>
      </c>
      <c r="E189" s="710"/>
      <c r="F189" s="3"/>
    </row>
    <row r="190" spans="1:6" ht="15" customHeight="1">
      <c r="A190" s="937" t="s">
        <v>3131</v>
      </c>
      <c r="B190" s="937" t="s">
        <v>1608</v>
      </c>
      <c r="C190" s="940"/>
      <c r="D190" s="940"/>
      <c r="E190" s="940"/>
      <c r="F190" s="3"/>
    </row>
    <row r="191" spans="1:6" ht="15" customHeight="1">
      <c r="A191" t="s">
        <v>1612</v>
      </c>
      <c r="B191" t="s">
        <v>1613</v>
      </c>
      <c r="C191" s="710" t="s">
        <v>88</v>
      </c>
      <c r="D191" s="710" t="s">
        <v>3128</v>
      </c>
      <c r="E191" s="710"/>
      <c r="F191" s="3"/>
    </row>
    <row r="192" spans="1:6" ht="15" customHeight="1">
      <c r="A192" t="s">
        <v>1614</v>
      </c>
      <c r="B192" t="s">
        <v>1615</v>
      </c>
      <c r="C192" s="710" t="s">
        <v>148</v>
      </c>
      <c r="D192" s="710" t="s">
        <v>3128</v>
      </c>
      <c r="E192" s="710"/>
      <c r="F192" s="3"/>
    </row>
    <row r="193" spans="1:7" ht="15" customHeight="1">
      <c r="A193" t="s">
        <v>1616</v>
      </c>
      <c r="B193" t="s">
        <v>1617</v>
      </c>
      <c r="C193" s="710" t="s">
        <v>1162</v>
      </c>
      <c r="D193" s="710" t="s">
        <v>3128</v>
      </c>
      <c r="E193" s="710"/>
      <c r="F193" s="3"/>
    </row>
    <row r="194" spans="1:7" ht="15" customHeight="1">
      <c r="A194" s="937" t="s">
        <v>1620</v>
      </c>
      <c r="B194" s="937" t="s">
        <v>1621</v>
      </c>
      <c r="C194" s="940" t="s">
        <v>88</v>
      </c>
      <c r="D194" s="940" t="s">
        <v>136</v>
      </c>
      <c r="E194" s="940"/>
      <c r="F194" s="3"/>
    </row>
    <row r="195" spans="1:7" ht="15" customHeight="1">
      <c r="A195" s="937" t="s">
        <v>1622</v>
      </c>
      <c r="B195" s="937" t="s">
        <v>1623</v>
      </c>
      <c r="C195" s="940" t="s">
        <v>148</v>
      </c>
      <c r="D195" s="940" t="s">
        <v>136</v>
      </c>
      <c r="E195" s="940"/>
      <c r="F195" s="3"/>
    </row>
    <row r="196" spans="1:7" ht="15" customHeight="1">
      <c r="A196" s="937" t="s">
        <v>1624</v>
      </c>
      <c r="B196" s="937" t="s">
        <v>1625</v>
      </c>
      <c r="C196" s="940" t="s">
        <v>157</v>
      </c>
      <c r="D196" s="940" t="s">
        <v>136</v>
      </c>
      <c r="E196" s="940"/>
      <c r="F196" s="3"/>
    </row>
    <row r="197" spans="1:7" ht="15" customHeight="1">
      <c r="A197" s="937" t="s">
        <v>1626</v>
      </c>
      <c r="B197" s="937" t="s">
        <v>1625</v>
      </c>
      <c r="C197" s="940" t="s">
        <v>172</v>
      </c>
      <c r="D197" s="940" t="s">
        <v>136</v>
      </c>
      <c r="E197" s="940"/>
      <c r="F197" s="3"/>
    </row>
    <row r="198" spans="1:7" ht="15" customHeight="1">
      <c r="A198" s="937" t="s">
        <v>1627</v>
      </c>
      <c r="B198" s="937" t="s">
        <v>1628</v>
      </c>
      <c r="C198" s="940" t="s">
        <v>176</v>
      </c>
      <c r="D198" s="940" t="s">
        <v>136</v>
      </c>
      <c r="E198" s="940"/>
      <c r="F198" s="4"/>
    </row>
    <row r="199" spans="1:7" ht="15" customHeight="1">
      <c r="A199" t="s">
        <v>1631</v>
      </c>
      <c r="B199" t="s">
        <v>1632</v>
      </c>
      <c r="C199" s="710" t="s">
        <v>88</v>
      </c>
      <c r="D199" s="710" t="s">
        <v>201</v>
      </c>
      <c r="E199" s="901"/>
      <c r="F199" s="3"/>
    </row>
    <row r="200" spans="1:7" ht="15" customHeight="1">
      <c r="A200" t="s">
        <v>1633</v>
      </c>
      <c r="B200" t="s">
        <v>1634</v>
      </c>
      <c r="C200" s="710" t="s">
        <v>148</v>
      </c>
      <c r="D200" s="710" t="s">
        <v>201</v>
      </c>
      <c r="E200" s="901"/>
      <c r="F200" s="3"/>
    </row>
    <row r="201" spans="1:7" ht="15" customHeight="1">
      <c r="A201" t="s">
        <v>1635</v>
      </c>
      <c r="B201" t="s">
        <v>1636</v>
      </c>
      <c r="C201" s="710" t="s">
        <v>1162</v>
      </c>
      <c r="D201" s="710" t="s">
        <v>201</v>
      </c>
      <c r="E201" s="901"/>
      <c r="F201" s="3"/>
    </row>
    <row r="202" spans="1:7" ht="15" customHeight="1">
      <c r="A202" t="s">
        <v>1637</v>
      </c>
      <c r="B202" t="s">
        <v>1638</v>
      </c>
      <c r="C202" s="710" t="s">
        <v>157</v>
      </c>
      <c r="D202" s="710" t="s">
        <v>201</v>
      </c>
      <c r="E202" s="901"/>
      <c r="F202" s="3"/>
    </row>
    <row r="203" spans="1:7" ht="15" customHeight="1">
      <c r="A203" t="s">
        <v>1639</v>
      </c>
      <c r="B203" t="s">
        <v>1640</v>
      </c>
      <c r="C203" s="710" t="s">
        <v>172</v>
      </c>
      <c r="D203" s="710" t="s">
        <v>201</v>
      </c>
      <c r="E203" s="901"/>
      <c r="F203" s="3"/>
    </row>
    <row r="204" spans="1:7" ht="15" customHeight="1">
      <c r="A204" t="s">
        <v>1641</v>
      </c>
      <c r="B204" t="s">
        <v>1642</v>
      </c>
      <c r="C204" s="710" t="s">
        <v>176</v>
      </c>
      <c r="D204" s="710" t="s">
        <v>201</v>
      </c>
      <c r="E204" s="901"/>
      <c r="F204" s="3"/>
    </row>
    <row r="205" spans="1:7" ht="15" customHeight="1">
      <c r="A205" t="s">
        <v>1645</v>
      </c>
      <c r="B205" t="s">
        <v>1646</v>
      </c>
      <c r="C205" s="710" t="s">
        <v>88</v>
      </c>
      <c r="D205" s="710" t="s">
        <v>201</v>
      </c>
      <c r="E205" s="901"/>
      <c r="F205" s="3"/>
      <c r="G205" s="756" t="s">
        <v>1081</v>
      </c>
    </row>
    <row r="206" spans="1:7" ht="15" customHeight="1">
      <c r="A206" t="s">
        <v>1647</v>
      </c>
      <c r="B206" t="s">
        <v>1648</v>
      </c>
      <c r="C206" s="710" t="s">
        <v>148</v>
      </c>
      <c r="D206" s="710" t="s">
        <v>201</v>
      </c>
      <c r="E206" s="901"/>
      <c r="F206" s="3"/>
    </row>
    <row r="207" spans="1:7" ht="15" customHeight="1">
      <c r="A207" t="s">
        <v>1649</v>
      </c>
      <c r="B207" t="s">
        <v>1650</v>
      </c>
      <c r="C207" s="710" t="s">
        <v>1162</v>
      </c>
      <c r="D207" s="710" t="s">
        <v>201</v>
      </c>
      <c r="E207" s="901"/>
      <c r="F207" s="3"/>
    </row>
    <row r="208" spans="1:7" ht="15" customHeight="1">
      <c r="A208" t="s">
        <v>1651</v>
      </c>
      <c r="B208" t="s">
        <v>1652</v>
      </c>
      <c r="C208" s="710" t="s">
        <v>157</v>
      </c>
      <c r="D208" s="710" t="s">
        <v>201</v>
      </c>
      <c r="E208" s="901"/>
      <c r="F208" s="3"/>
    </row>
    <row r="209" spans="1:6" ht="15" customHeight="1">
      <c r="A209" t="s">
        <v>1653</v>
      </c>
      <c r="B209" t="s">
        <v>1654</v>
      </c>
      <c r="C209" s="710" t="s">
        <v>172</v>
      </c>
      <c r="D209" s="710" t="s">
        <v>201</v>
      </c>
      <c r="E209" s="901"/>
      <c r="F209" s="3"/>
    </row>
    <row r="210" spans="1:6" ht="15" customHeight="1">
      <c r="A210" t="s">
        <v>1655</v>
      </c>
      <c r="B210" t="s">
        <v>1656</v>
      </c>
      <c r="C210" s="710" t="s">
        <v>176</v>
      </c>
      <c r="D210" s="710" t="s">
        <v>201</v>
      </c>
      <c r="E210" s="901"/>
      <c r="F210" s="3"/>
    </row>
    <row r="211" spans="1:6" ht="15" customHeight="1">
      <c r="A211" t="s">
        <v>1659</v>
      </c>
      <c r="B211" t="s">
        <v>1660</v>
      </c>
      <c r="C211" s="710" t="s">
        <v>88</v>
      </c>
      <c r="D211" s="710" t="s">
        <v>130</v>
      </c>
      <c r="E211" s="901"/>
      <c r="F211" s="3"/>
    </row>
    <row r="212" spans="1:6" ht="15" customHeight="1">
      <c r="A212" t="s">
        <v>1661</v>
      </c>
      <c r="B212" t="s">
        <v>1662</v>
      </c>
      <c r="C212" s="710" t="s">
        <v>148</v>
      </c>
      <c r="D212" s="710" t="s">
        <v>130</v>
      </c>
      <c r="E212" s="901"/>
      <c r="F212" s="4"/>
    </row>
    <row r="213" spans="1:6" ht="15" customHeight="1">
      <c r="A213" t="s">
        <v>1663</v>
      </c>
      <c r="B213" t="s">
        <v>1664</v>
      </c>
      <c r="C213" s="710" t="s">
        <v>1162</v>
      </c>
      <c r="D213" s="710" t="s">
        <v>130</v>
      </c>
      <c r="E213" s="901"/>
      <c r="F213" s="3"/>
    </row>
    <row r="214" spans="1:6" ht="15" customHeight="1">
      <c r="A214" t="s">
        <v>1665</v>
      </c>
      <c r="B214" t="s">
        <v>1666</v>
      </c>
      <c r="C214" s="710" t="s">
        <v>157</v>
      </c>
      <c r="D214" s="710" t="s">
        <v>130</v>
      </c>
      <c r="E214" s="901"/>
      <c r="F214" s="3"/>
    </row>
    <row r="215" spans="1:6" ht="15" customHeight="1">
      <c r="A215" t="s">
        <v>1667</v>
      </c>
      <c r="B215" t="s">
        <v>1668</v>
      </c>
      <c r="C215" s="710" t="s">
        <v>172</v>
      </c>
      <c r="D215" s="710" t="s">
        <v>130</v>
      </c>
      <c r="E215" s="901"/>
      <c r="F215" s="3"/>
    </row>
    <row r="216" spans="1:6" ht="15" customHeight="1">
      <c r="A216" t="s">
        <v>1669</v>
      </c>
      <c r="B216" t="s">
        <v>1670</v>
      </c>
      <c r="C216" s="710" t="s">
        <v>176</v>
      </c>
      <c r="D216" s="710" t="s">
        <v>130</v>
      </c>
      <c r="E216" s="901"/>
      <c r="F216" s="3"/>
    </row>
    <row r="217" spans="1:6" ht="15" customHeight="1">
      <c r="A217" t="s">
        <v>1673</v>
      </c>
      <c r="B217" t="s">
        <v>1674</v>
      </c>
      <c r="C217" s="710" t="s">
        <v>88</v>
      </c>
      <c r="D217" s="710" t="s">
        <v>217</v>
      </c>
      <c r="E217" s="901"/>
      <c r="F217" s="3"/>
    </row>
    <row r="218" spans="1:6" ht="15" customHeight="1">
      <c r="A218" t="s">
        <v>1675</v>
      </c>
      <c r="B218" t="s">
        <v>1676</v>
      </c>
      <c r="C218" s="710" t="s">
        <v>148</v>
      </c>
      <c r="D218" s="710" t="s">
        <v>217</v>
      </c>
      <c r="E218" s="901"/>
      <c r="F218" s="3"/>
    </row>
    <row r="219" spans="1:6" ht="15" customHeight="1">
      <c r="A219" t="s">
        <v>1677</v>
      </c>
      <c r="B219" t="s">
        <v>1678</v>
      </c>
      <c r="C219" s="710" t="s">
        <v>157</v>
      </c>
      <c r="D219" s="710" t="s">
        <v>217</v>
      </c>
      <c r="E219" s="901"/>
      <c r="F219" s="3"/>
    </row>
    <row r="220" spans="1:6" ht="15" customHeight="1">
      <c r="A220" t="s">
        <v>1679</v>
      </c>
      <c r="B220" t="s">
        <v>1680</v>
      </c>
      <c r="C220" s="710" t="s">
        <v>172</v>
      </c>
      <c r="D220" s="710" t="s">
        <v>217</v>
      </c>
      <c r="E220" s="901"/>
      <c r="F220" s="3"/>
    </row>
    <row r="221" spans="1:6" ht="15" customHeight="1">
      <c r="A221" t="s">
        <v>1681</v>
      </c>
      <c r="B221" t="s">
        <v>1682</v>
      </c>
      <c r="C221" s="710" t="s">
        <v>176</v>
      </c>
      <c r="D221" s="710" t="s">
        <v>217</v>
      </c>
      <c r="E221" s="901"/>
      <c r="F221" s="3"/>
    </row>
    <row r="222" spans="1:6" ht="15" customHeight="1">
      <c r="A222" t="s">
        <v>1685</v>
      </c>
      <c r="B222" t="s">
        <v>1686</v>
      </c>
      <c r="C222" s="710" t="s">
        <v>88</v>
      </c>
      <c r="D222" s="710" t="s">
        <v>202</v>
      </c>
      <c r="E222" s="901"/>
      <c r="F222" s="3"/>
    </row>
    <row r="223" spans="1:6" ht="15" customHeight="1">
      <c r="A223" t="s">
        <v>1687</v>
      </c>
      <c r="B223" t="s">
        <v>1688</v>
      </c>
      <c r="C223" s="710" t="s">
        <v>148</v>
      </c>
      <c r="D223" s="710" t="s">
        <v>202</v>
      </c>
      <c r="E223" s="901"/>
      <c r="F223" s="3"/>
    </row>
    <row r="224" spans="1:6" ht="15" customHeight="1">
      <c r="A224" t="s">
        <v>1689</v>
      </c>
      <c r="B224" t="s">
        <v>1690</v>
      </c>
      <c r="C224" s="710" t="s">
        <v>157</v>
      </c>
      <c r="D224" s="710" t="s">
        <v>202</v>
      </c>
      <c r="E224" s="901"/>
      <c r="F224" s="3"/>
    </row>
    <row r="225" spans="1:6" ht="15" customHeight="1">
      <c r="A225" t="s">
        <v>1691</v>
      </c>
      <c r="B225" t="s">
        <v>1692</v>
      </c>
      <c r="C225" s="710" t="s">
        <v>172</v>
      </c>
      <c r="D225" s="710" t="s">
        <v>202</v>
      </c>
      <c r="E225" s="901"/>
      <c r="F225" s="3"/>
    </row>
    <row r="226" spans="1:6" ht="15" customHeight="1">
      <c r="A226" t="s">
        <v>1693</v>
      </c>
      <c r="B226" t="s">
        <v>1694</v>
      </c>
      <c r="C226" s="710" t="s">
        <v>176</v>
      </c>
      <c r="D226" s="710" t="s">
        <v>202</v>
      </c>
      <c r="E226" s="901"/>
      <c r="F226" s="3"/>
    </row>
    <row r="227" spans="1:6" ht="15" customHeight="1">
      <c r="A227" t="s">
        <v>1697</v>
      </c>
      <c r="B227" t="s">
        <v>1698</v>
      </c>
      <c r="C227" s="710" t="s">
        <v>88</v>
      </c>
      <c r="D227" s="710" t="s">
        <v>205</v>
      </c>
      <c r="E227" s="901"/>
      <c r="F227" s="3"/>
    </row>
    <row r="228" spans="1:6" ht="15" customHeight="1">
      <c r="A228" t="s">
        <v>1699</v>
      </c>
      <c r="B228" t="s">
        <v>1700</v>
      </c>
      <c r="C228" s="710" t="s">
        <v>148</v>
      </c>
      <c r="D228" s="710" t="s">
        <v>205</v>
      </c>
      <c r="E228" s="901"/>
      <c r="F228" s="3"/>
    </row>
    <row r="229" spans="1:6" ht="15" customHeight="1">
      <c r="A229" t="s">
        <v>1701</v>
      </c>
      <c r="B229" t="s">
        <v>1702</v>
      </c>
      <c r="C229" s="710" t="s">
        <v>157</v>
      </c>
      <c r="D229" s="710" t="s">
        <v>205</v>
      </c>
      <c r="E229" s="901"/>
      <c r="F229" s="3"/>
    </row>
    <row r="230" spans="1:6" ht="15" customHeight="1">
      <c r="A230" t="s">
        <v>1703</v>
      </c>
      <c r="B230" t="s">
        <v>1704</v>
      </c>
      <c r="C230" s="710" t="s">
        <v>172</v>
      </c>
      <c r="D230" s="710" t="s">
        <v>205</v>
      </c>
      <c r="E230" s="901"/>
      <c r="F230" s="3"/>
    </row>
    <row r="231" spans="1:6" ht="15" customHeight="1">
      <c r="A231" t="s">
        <v>1705</v>
      </c>
      <c r="B231" t="s">
        <v>1706</v>
      </c>
      <c r="C231" s="710" t="s">
        <v>176</v>
      </c>
      <c r="D231" s="710" t="s">
        <v>205</v>
      </c>
      <c r="E231" s="901"/>
      <c r="F231" s="3"/>
    </row>
    <row r="232" spans="1:6" ht="15" customHeight="1">
      <c r="A232" t="s">
        <v>1709</v>
      </c>
      <c r="B232" t="s">
        <v>1710</v>
      </c>
      <c r="C232" s="710" t="s">
        <v>88</v>
      </c>
      <c r="D232" s="710" t="s">
        <v>206</v>
      </c>
      <c r="E232" s="901"/>
      <c r="F232" s="3"/>
    </row>
    <row r="233" spans="1:6" ht="15" customHeight="1">
      <c r="A233" t="s">
        <v>1711</v>
      </c>
      <c r="B233" t="s">
        <v>1712</v>
      </c>
      <c r="C233" s="710" t="s">
        <v>148</v>
      </c>
      <c r="D233" s="710" t="s">
        <v>206</v>
      </c>
      <c r="E233" s="901"/>
      <c r="F233" s="3"/>
    </row>
    <row r="234" spans="1:6" ht="15" customHeight="1">
      <c r="A234" t="s">
        <v>1713</v>
      </c>
      <c r="B234" t="s">
        <v>1714</v>
      </c>
      <c r="C234" s="710" t="s">
        <v>157</v>
      </c>
      <c r="D234" s="710" t="s">
        <v>206</v>
      </c>
      <c r="E234" s="901"/>
      <c r="F234" s="3"/>
    </row>
    <row r="235" spans="1:6" ht="15" customHeight="1">
      <c r="A235" t="s">
        <v>1715</v>
      </c>
      <c r="B235" t="s">
        <v>1716</v>
      </c>
      <c r="C235" s="710" t="s">
        <v>172</v>
      </c>
      <c r="D235" s="710" t="s">
        <v>206</v>
      </c>
      <c r="E235" s="901"/>
      <c r="F235" s="3"/>
    </row>
    <row r="236" spans="1:6" ht="15" customHeight="1">
      <c r="A236" t="s">
        <v>1717</v>
      </c>
      <c r="B236" t="s">
        <v>1718</v>
      </c>
      <c r="C236" s="710" t="s">
        <v>176</v>
      </c>
      <c r="D236" s="710" t="s">
        <v>206</v>
      </c>
      <c r="E236" s="901"/>
      <c r="F236" s="3"/>
    </row>
    <row r="237" spans="1:6" ht="15" customHeight="1">
      <c r="A237" s="937" t="s">
        <v>1721</v>
      </c>
      <c r="B237" s="937" t="s">
        <v>1722</v>
      </c>
      <c r="C237" s="940"/>
      <c r="D237" s="940"/>
      <c r="E237" s="941"/>
      <c r="F237" s="3"/>
    </row>
    <row r="238" spans="1:6" ht="15" customHeight="1">
      <c r="A238" s="937" t="s">
        <v>1723</v>
      </c>
      <c r="B238" s="937" t="s">
        <v>1724</v>
      </c>
      <c r="C238" s="940"/>
      <c r="D238" s="940"/>
      <c r="E238" s="941"/>
      <c r="F238" s="3"/>
    </row>
    <row r="239" spans="1:6" ht="15" customHeight="1">
      <c r="A239" s="937" t="s">
        <v>1725</v>
      </c>
      <c r="B239" s="937" t="s">
        <v>1726</v>
      </c>
      <c r="C239" s="940"/>
      <c r="D239" s="940"/>
      <c r="E239" s="941"/>
      <c r="F239" s="3"/>
    </row>
    <row r="240" spans="1:6" ht="15" customHeight="1">
      <c r="A240" s="937" t="s">
        <v>1727</v>
      </c>
      <c r="B240" s="937" t="s">
        <v>1728</v>
      </c>
      <c r="C240" s="940"/>
      <c r="D240" s="940"/>
      <c r="E240" s="941"/>
      <c r="F240" s="3"/>
    </row>
    <row r="241" spans="1:6" ht="15" customHeight="1">
      <c r="A241" s="937" t="s">
        <v>1729</v>
      </c>
      <c r="B241" s="937" t="s">
        <v>1730</v>
      </c>
      <c r="C241" s="940"/>
      <c r="D241" s="940"/>
      <c r="E241" s="941"/>
      <c r="F241" s="3"/>
    </row>
    <row r="242" spans="1:6" ht="15" customHeight="1">
      <c r="A242" t="s">
        <v>1733</v>
      </c>
      <c r="B242" t="s">
        <v>1734</v>
      </c>
      <c r="C242" s="710" t="s">
        <v>88</v>
      </c>
      <c r="D242" s="710" t="s">
        <v>203</v>
      </c>
      <c r="E242" s="901"/>
      <c r="F242" s="3"/>
    </row>
    <row r="243" spans="1:6" ht="15" customHeight="1">
      <c r="A243" t="s">
        <v>1735</v>
      </c>
      <c r="B243" t="s">
        <v>1736</v>
      </c>
      <c r="C243" s="710" t="s">
        <v>148</v>
      </c>
      <c r="D243" s="710" t="s">
        <v>203</v>
      </c>
      <c r="E243" s="901"/>
      <c r="F243" s="3"/>
    </row>
    <row r="244" spans="1:6" ht="15" customHeight="1">
      <c r="A244" t="s">
        <v>1737</v>
      </c>
      <c r="B244" t="s">
        <v>1738</v>
      </c>
      <c r="C244" s="710" t="s">
        <v>1162</v>
      </c>
      <c r="D244" s="710" t="s">
        <v>203</v>
      </c>
      <c r="E244" s="901"/>
      <c r="F244" s="3"/>
    </row>
    <row r="245" spans="1:6" ht="15" customHeight="1">
      <c r="A245" t="s">
        <v>1739</v>
      </c>
      <c r="B245" t="s">
        <v>1740</v>
      </c>
      <c r="C245" s="710" t="s">
        <v>157</v>
      </c>
      <c r="D245" s="710" t="s">
        <v>203</v>
      </c>
      <c r="E245" s="901"/>
      <c r="F245" s="3"/>
    </row>
    <row r="246" spans="1:6" ht="15" customHeight="1">
      <c r="A246" t="s">
        <v>1741</v>
      </c>
      <c r="B246" t="s">
        <v>1742</v>
      </c>
      <c r="C246" s="710" t="s">
        <v>172</v>
      </c>
      <c r="D246" s="710" t="s">
        <v>203</v>
      </c>
      <c r="E246" s="901"/>
      <c r="F246" s="3"/>
    </row>
    <row r="247" spans="1:6" ht="15" customHeight="1">
      <c r="A247" t="s">
        <v>1743</v>
      </c>
      <c r="B247" t="s">
        <v>1744</v>
      </c>
      <c r="C247" s="710" t="s">
        <v>176</v>
      </c>
      <c r="D247" s="710" t="s">
        <v>203</v>
      </c>
      <c r="E247" s="901"/>
      <c r="F247" s="3"/>
    </row>
    <row r="248" spans="1:6" ht="15" customHeight="1">
      <c r="A248" t="s">
        <v>1747</v>
      </c>
      <c r="B248" t="s">
        <v>1748</v>
      </c>
      <c r="C248" s="710" t="s">
        <v>88</v>
      </c>
      <c r="D248" s="710" t="s">
        <v>208</v>
      </c>
      <c r="E248" s="901"/>
      <c r="F248" s="3"/>
    </row>
    <row r="249" spans="1:6" ht="15" customHeight="1">
      <c r="A249" t="s">
        <v>1749</v>
      </c>
      <c r="B249" t="s">
        <v>1750</v>
      </c>
      <c r="C249" s="710" t="s">
        <v>148</v>
      </c>
      <c r="D249" s="710" t="s">
        <v>208</v>
      </c>
      <c r="E249" s="901"/>
      <c r="F249" s="3"/>
    </row>
    <row r="250" spans="1:6" ht="15" customHeight="1">
      <c r="A250" t="s">
        <v>1751</v>
      </c>
      <c r="B250" t="s">
        <v>1752</v>
      </c>
      <c r="C250" s="710" t="s">
        <v>157</v>
      </c>
      <c r="D250" s="710" t="s">
        <v>208</v>
      </c>
      <c r="E250" s="901"/>
      <c r="F250" s="3"/>
    </row>
    <row r="251" spans="1:6" ht="15" customHeight="1">
      <c r="A251" t="s">
        <v>1753</v>
      </c>
      <c r="B251" t="s">
        <v>1754</v>
      </c>
      <c r="C251" s="710" t="s">
        <v>172</v>
      </c>
      <c r="D251" s="710" t="s">
        <v>208</v>
      </c>
      <c r="E251" s="901"/>
      <c r="F251" s="3"/>
    </row>
    <row r="252" spans="1:6" ht="15" customHeight="1">
      <c r="A252" t="s">
        <v>1755</v>
      </c>
      <c r="B252" t="s">
        <v>1756</v>
      </c>
      <c r="C252" s="710" t="s">
        <v>176</v>
      </c>
      <c r="D252" s="710" t="s">
        <v>208</v>
      </c>
      <c r="E252" s="901"/>
      <c r="F252" s="3"/>
    </row>
    <row r="253" spans="1:6" ht="15" customHeight="1">
      <c r="A253" t="s">
        <v>1759</v>
      </c>
      <c r="B253" t="s">
        <v>1760</v>
      </c>
      <c r="C253" s="710" t="s">
        <v>88</v>
      </c>
      <c r="D253" s="710" t="s">
        <v>217</v>
      </c>
      <c r="E253" s="901"/>
      <c r="F253" s="3"/>
    </row>
    <row r="254" spans="1:6" ht="15" customHeight="1">
      <c r="A254" t="s">
        <v>1761</v>
      </c>
      <c r="B254" t="s">
        <v>1762</v>
      </c>
      <c r="C254" s="710" t="s">
        <v>148</v>
      </c>
      <c r="D254" s="710" t="s">
        <v>217</v>
      </c>
      <c r="E254" s="901"/>
      <c r="F254" s="3"/>
    </row>
    <row r="255" spans="1:6" ht="15" customHeight="1">
      <c r="A255" t="s">
        <v>1763</v>
      </c>
      <c r="B255" t="s">
        <v>1764</v>
      </c>
      <c r="C255" s="710" t="s">
        <v>157</v>
      </c>
      <c r="D255" s="710" t="s">
        <v>217</v>
      </c>
      <c r="E255" s="901"/>
      <c r="F255" s="3"/>
    </row>
    <row r="256" spans="1:6" ht="15" customHeight="1">
      <c r="A256" t="s">
        <v>1765</v>
      </c>
      <c r="B256" t="s">
        <v>1766</v>
      </c>
      <c r="C256" s="710" t="s">
        <v>172</v>
      </c>
      <c r="D256" s="710" t="s">
        <v>217</v>
      </c>
      <c r="E256" s="901"/>
      <c r="F256" s="3"/>
    </row>
    <row r="257" spans="1:6" ht="15" customHeight="1">
      <c r="A257" t="s">
        <v>1767</v>
      </c>
      <c r="B257" t="s">
        <v>1768</v>
      </c>
      <c r="C257" s="710" t="s">
        <v>176</v>
      </c>
      <c r="D257" s="710" t="s">
        <v>217</v>
      </c>
      <c r="E257" s="901"/>
      <c r="F257" s="3"/>
    </row>
    <row r="258" spans="1:6" ht="15" customHeight="1">
      <c r="A258" t="s">
        <v>1771</v>
      </c>
      <c r="B258" t="s">
        <v>1772</v>
      </c>
      <c r="C258" s="710" t="s">
        <v>88</v>
      </c>
      <c r="D258" s="710" t="s">
        <v>209</v>
      </c>
      <c r="E258" s="901"/>
      <c r="F258" s="3"/>
    </row>
    <row r="259" spans="1:6" ht="15" customHeight="1">
      <c r="A259" t="s">
        <v>1773</v>
      </c>
      <c r="B259" t="s">
        <v>1774</v>
      </c>
      <c r="C259" s="710" t="s">
        <v>148</v>
      </c>
      <c r="D259" s="710" t="s">
        <v>209</v>
      </c>
      <c r="E259" s="901"/>
      <c r="F259" s="3"/>
    </row>
    <row r="260" spans="1:6" ht="15" customHeight="1">
      <c r="A260" t="s">
        <v>1775</v>
      </c>
      <c r="B260" t="s">
        <v>1776</v>
      </c>
      <c r="C260" s="710" t="s">
        <v>157</v>
      </c>
      <c r="D260" s="710" t="s">
        <v>209</v>
      </c>
      <c r="E260" s="901"/>
      <c r="F260" s="3"/>
    </row>
    <row r="261" spans="1:6" ht="15" customHeight="1">
      <c r="A261" t="s">
        <v>1777</v>
      </c>
      <c r="B261" t="s">
        <v>1778</v>
      </c>
      <c r="C261" s="710" t="s">
        <v>172</v>
      </c>
      <c r="D261" s="710" t="s">
        <v>209</v>
      </c>
      <c r="E261" s="901"/>
      <c r="F261" s="3"/>
    </row>
    <row r="262" spans="1:6" ht="15" customHeight="1">
      <c r="A262" t="s">
        <v>1779</v>
      </c>
      <c r="B262" t="s">
        <v>1780</v>
      </c>
      <c r="C262" s="710" t="s">
        <v>176</v>
      </c>
      <c r="D262" s="710" t="s">
        <v>209</v>
      </c>
      <c r="E262" s="901"/>
      <c r="F262" s="3"/>
    </row>
    <row r="263" spans="1:6" ht="15" customHeight="1">
      <c r="A263" t="s">
        <v>1784</v>
      </c>
      <c r="B263" t="s">
        <v>1139</v>
      </c>
      <c r="C263" s="710"/>
      <c r="D263" s="710"/>
      <c r="E263" s="901"/>
      <c r="F263" s="3"/>
    </row>
    <row r="264" spans="1:6" ht="15" customHeight="1">
      <c r="A264" t="s">
        <v>1785</v>
      </c>
      <c r="B264" t="s">
        <v>644</v>
      </c>
      <c r="C264" s="710" t="s">
        <v>652</v>
      </c>
      <c r="D264" s="710" t="s">
        <v>21</v>
      </c>
      <c r="E264" s="901"/>
      <c r="F264" s="3"/>
    </row>
    <row r="265" spans="1:6" ht="15" customHeight="1">
      <c r="A265" t="s">
        <v>1786</v>
      </c>
      <c r="B265" t="s">
        <v>1787</v>
      </c>
      <c r="C265" s="710" t="s">
        <v>652</v>
      </c>
      <c r="D265" s="710" t="s">
        <v>49</v>
      </c>
      <c r="E265" s="901"/>
      <c r="F265" s="3"/>
    </row>
    <row r="266" spans="1:6" ht="15" customHeight="1">
      <c r="A266" t="s">
        <v>1788</v>
      </c>
      <c r="B266" t="s">
        <v>1789</v>
      </c>
      <c r="C266" s="710" t="s">
        <v>652</v>
      </c>
      <c r="D266" s="710" t="s">
        <v>21</v>
      </c>
      <c r="E266" s="901"/>
      <c r="F266" s="3"/>
    </row>
    <row r="267" spans="1:6" ht="15.6" customHeight="1">
      <c r="A267" t="s">
        <v>1792</v>
      </c>
      <c r="B267" t="s">
        <v>1137</v>
      </c>
      <c r="C267" s="710" t="s">
        <v>652</v>
      </c>
      <c r="D267" s="710" t="s">
        <v>21</v>
      </c>
      <c r="E267" s="901"/>
      <c r="F267" s="3"/>
    </row>
    <row r="268" spans="1:6" ht="15" customHeight="1">
      <c r="A268" t="s">
        <v>1795</v>
      </c>
      <c r="B268" t="s">
        <v>1796</v>
      </c>
      <c r="C268" s="710"/>
      <c r="D268" s="710"/>
      <c r="E268" s="901"/>
      <c r="F268" s="3"/>
    </row>
    <row r="269" spans="1:6" ht="15" customHeight="1">
      <c r="A269" t="s">
        <v>1798</v>
      </c>
      <c r="B269" t="s">
        <v>1799</v>
      </c>
      <c r="C269" s="710" t="s">
        <v>652</v>
      </c>
      <c r="D269" s="710" t="s">
        <v>21</v>
      </c>
      <c r="E269" s="901"/>
      <c r="F269" s="3"/>
    </row>
    <row r="270" spans="1:6" ht="15" customHeight="1">
      <c r="A270" t="s">
        <v>1802</v>
      </c>
      <c r="B270" t="s">
        <v>1803</v>
      </c>
      <c r="C270" s="710"/>
      <c r="D270" s="710"/>
      <c r="E270" s="901"/>
      <c r="F270" s="3"/>
    </row>
    <row r="271" spans="1:6" ht="15" customHeight="1">
      <c r="A271" t="s">
        <v>1804</v>
      </c>
      <c r="B271" t="s">
        <v>1805</v>
      </c>
      <c r="C271" s="710" t="s">
        <v>652</v>
      </c>
      <c r="D271" s="710" t="s">
        <v>25</v>
      </c>
      <c r="E271" s="901"/>
      <c r="F271" s="3"/>
    </row>
    <row r="272" spans="1:6" ht="15" customHeight="1">
      <c r="A272" t="s">
        <v>1809</v>
      </c>
      <c r="B272" t="s">
        <v>1810</v>
      </c>
      <c r="C272" s="710" t="s">
        <v>652</v>
      </c>
      <c r="D272" s="710" t="s">
        <v>26</v>
      </c>
      <c r="E272" s="901"/>
      <c r="F272" s="3"/>
    </row>
    <row r="273" spans="1:6" ht="15" customHeight="1">
      <c r="A273" t="s">
        <v>1811</v>
      </c>
      <c r="B273" t="s">
        <v>1812</v>
      </c>
      <c r="C273" s="710"/>
      <c r="D273" s="710"/>
      <c r="E273" s="901"/>
      <c r="F273" s="3"/>
    </row>
    <row r="274" spans="1:6" ht="15" customHeight="1">
      <c r="A274" t="s">
        <v>1813</v>
      </c>
      <c r="B274" t="s">
        <v>1814</v>
      </c>
      <c r="C274" s="710" t="s">
        <v>652</v>
      </c>
      <c r="D274" s="710" t="s">
        <v>30</v>
      </c>
      <c r="E274" s="901"/>
      <c r="F274" s="3"/>
    </row>
    <row r="275" spans="1:6" ht="15" customHeight="1">
      <c r="A275" t="s">
        <v>1815</v>
      </c>
      <c r="B275" t="s">
        <v>1816</v>
      </c>
      <c r="C275" s="710" t="s">
        <v>652</v>
      </c>
      <c r="D275" s="710" t="s">
        <v>26</v>
      </c>
      <c r="E275" s="901"/>
      <c r="F275" s="3"/>
    </row>
    <row r="276" spans="1:6" ht="15" customHeight="1">
      <c r="A276" t="s">
        <v>1817</v>
      </c>
      <c r="B276" t="s">
        <v>1818</v>
      </c>
      <c r="C276" s="710" t="s">
        <v>652</v>
      </c>
      <c r="D276" s="710" t="s">
        <v>34</v>
      </c>
      <c r="E276" s="901"/>
      <c r="F276" s="3"/>
    </row>
    <row r="277" spans="1:6" ht="15" customHeight="1">
      <c r="A277" t="s">
        <v>1819</v>
      </c>
      <c r="B277" t="s">
        <v>1820</v>
      </c>
      <c r="C277" s="710" t="s">
        <v>652</v>
      </c>
      <c r="D277" s="710" t="s">
        <v>26</v>
      </c>
      <c r="E277" s="901"/>
      <c r="F277" s="3"/>
    </row>
    <row r="278" spans="1:6" ht="15" customHeight="1">
      <c r="A278" t="s">
        <v>1821</v>
      </c>
      <c r="B278" t="s">
        <v>1822</v>
      </c>
      <c r="C278" s="710" t="s">
        <v>652</v>
      </c>
      <c r="D278" s="710" t="s">
        <v>31</v>
      </c>
      <c r="E278" s="901"/>
      <c r="F278" s="3"/>
    </row>
    <row r="279" spans="1:6" ht="15" customHeight="1">
      <c r="A279" t="s">
        <v>1823</v>
      </c>
      <c r="B279" t="s">
        <v>1824</v>
      </c>
      <c r="C279" s="710" t="s">
        <v>652</v>
      </c>
      <c r="D279" s="710" t="s">
        <v>31</v>
      </c>
      <c r="E279" s="901"/>
      <c r="F279" s="3"/>
    </row>
    <row r="280" spans="1:6" ht="15" customHeight="1">
      <c r="A280" t="s">
        <v>1825</v>
      </c>
      <c r="B280" t="s">
        <v>1826</v>
      </c>
      <c r="C280" s="710" t="s">
        <v>652</v>
      </c>
      <c r="D280" s="710" t="s">
        <v>38</v>
      </c>
      <c r="E280" s="901"/>
      <c r="F280" s="3"/>
    </row>
    <row r="281" spans="1:6" ht="15" customHeight="1">
      <c r="A281" t="s">
        <v>1827</v>
      </c>
      <c r="B281" t="s">
        <v>1828</v>
      </c>
      <c r="C281" s="710" t="s">
        <v>652</v>
      </c>
      <c r="D281" s="710" t="s">
        <v>26</v>
      </c>
      <c r="E281" s="901"/>
      <c r="F281" s="3"/>
    </row>
    <row r="282" spans="1:6" ht="15" customHeight="1">
      <c r="A282" t="s">
        <v>1829</v>
      </c>
      <c r="B282" t="s">
        <v>1830</v>
      </c>
      <c r="C282" s="710" t="s">
        <v>652</v>
      </c>
      <c r="D282" s="710" t="s">
        <v>26</v>
      </c>
      <c r="E282" s="901"/>
      <c r="F282" s="3"/>
    </row>
    <row r="283" spans="1:6" ht="15" customHeight="1">
      <c r="A283" t="s">
        <v>1832</v>
      </c>
      <c r="B283" t="s">
        <v>1833</v>
      </c>
      <c r="C283" s="710" t="s">
        <v>652</v>
      </c>
      <c r="D283" s="710" t="s">
        <v>26</v>
      </c>
      <c r="E283" s="901"/>
      <c r="F283" s="3"/>
    </row>
    <row r="284" spans="1:6" ht="15" customHeight="1">
      <c r="A284" t="s">
        <v>1834</v>
      </c>
      <c r="B284" t="s">
        <v>1835</v>
      </c>
      <c r="C284" s="710" t="s">
        <v>652</v>
      </c>
      <c r="D284" s="710" t="s">
        <v>26</v>
      </c>
      <c r="E284" s="901"/>
      <c r="F284" s="3"/>
    </row>
    <row r="285" spans="1:6" ht="15" customHeight="1">
      <c r="A285" t="s">
        <v>1838</v>
      </c>
      <c r="B285" t="s">
        <v>1839</v>
      </c>
      <c r="C285" s="710" t="s">
        <v>652</v>
      </c>
      <c r="D285" s="710" t="s">
        <v>26</v>
      </c>
      <c r="E285" s="901"/>
      <c r="F285" s="3"/>
    </row>
    <row r="286" spans="1:6" ht="15" customHeight="1">
      <c r="A286" t="s">
        <v>1840</v>
      </c>
      <c r="B286" t="s">
        <v>1841</v>
      </c>
      <c r="C286" s="710" t="s">
        <v>652</v>
      </c>
      <c r="D286" s="710" t="s">
        <v>26</v>
      </c>
      <c r="E286" s="901"/>
      <c r="F286" s="3"/>
    </row>
    <row r="287" spans="1:6" ht="15" customHeight="1">
      <c r="A287" t="s">
        <v>1842</v>
      </c>
      <c r="B287" t="s">
        <v>1843</v>
      </c>
      <c r="C287" s="710" t="s">
        <v>652</v>
      </c>
      <c r="D287" s="710" t="s">
        <v>26</v>
      </c>
      <c r="E287" s="901"/>
      <c r="F287" s="3"/>
    </row>
    <row r="288" spans="1:6" ht="15" customHeight="1">
      <c r="A288" t="s">
        <v>1844</v>
      </c>
      <c r="B288" t="s">
        <v>1845</v>
      </c>
      <c r="C288" s="710" t="s">
        <v>652</v>
      </c>
      <c r="D288" s="710" t="s">
        <v>26</v>
      </c>
      <c r="E288" s="901"/>
      <c r="F288" s="3"/>
    </row>
    <row r="289" spans="1:6" ht="15" customHeight="1">
      <c r="A289" t="s">
        <v>1850</v>
      </c>
      <c r="B289" t="s">
        <v>1851</v>
      </c>
      <c r="C289" s="710" t="s">
        <v>652</v>
      </c>
      <c r="D289" s="710" t="s">
        <v>36</v>
      </c>
      <c r="E289" s="901"/>
      <c r="F289" s="3"/>
    </row>
    <row r="290" spans="1:6" ht="15" customHeight="1">
      <c r="A290" t="s">
        <v>1852</v>
      </c>
      <c r="B290" t="s">
        <v>1853</v>
      </c>
      <c r="C290" s="710" t="s">
        <v>652</v>
      </c>
      <c r="D290" s="710" t="s">
        <v>36</v>
      </c>
      <c r="E290" s="710"/>
      <c r="F290" s="3"/>
    </row>
    <row r="291" spans="1:6" ht="15" customHeight="1">
      <c r="A291" t="s">
        <v>1854</v>
      </c>
      <c r="B291" t="s">
        <v>1855</v>
      </c>
      <c r="C291" s="710" t="s">
        <v>652</v>
      </c>
      <c r="D291" s="710" t="s">
        <v>36</v>
      </c>
      <c r="E291" s="710"/>
      <c r="F291" s="3"/>
    </row>
    <row r="292" spans="1:6" ht="15" customHeight="1">
      <c r="A292" t="s">
        <v>1856</v>
      </c>
      <c r="B292" t="s">
        <v>1857</v>
      </c>
      <c r="C292" s="710" t="s">
        <v>652</v>
      </c>
      <c r="D292" s="710" t="s">
        <v>36</v>
      </c>
      <c r="E292" s="710"/>
      <c r="F292" s="3"/>
    </row>
    <row r="293" spans="1:6" ht="15" customHeight="1">
      <c r="A293" t="s">
        <v>1858</v>
      </c>
      <c r="B293" t="s">
        <v>1859</v>
      </c>
      <c r="C293" s="710" t="s">
        <v>652</v>
      </c>
      <c r="D293" s="710" t="s">
        <v>26</v>
      </c>
      <c r="E293" s="710"/>
      <c r="F293" s="3"/>
    </row>
    <row r="294" spans="1:6" ht="15" customHeight="1">
      <c r="A294" t="s">
        <v>1860</v>
      </c>
      <c r="B294" t="s">
        <v>1861</v>
      </c>
      <c r="C294" s="710" t="s">
        <v>652</v>
      </c>
      <c r="D294" s="710" t="s">
        <v>26</v>
      </c>
      <c r="E294" s="710"/>
      <c r="F294" s="3"/>
    </row>
    <row r="295" spans="1:6" ht="15" customHeight="1">
      <c r="A295" t="s">
        <v>1862</v>
      </c>
      <c r="B295" t="s">
        <v>1863</v>
      </c>
      <c r="C295" s="710" t="s">
        <v>652</v>
      </c>
      <c r="D295" s="710" t="s">
        <v>26</v>
      </c>
      <c r="E295" s="710"/>
      <c r="F295" s="3"/>
    </row>
    <row r="296" spans="1:6" ht="15" customHeight="1">
      <c r="A296" t="s">
        <v>1864</v>
      </c>
      <c r="B296" t="s">
        <v>1865</v>
      </c>
      <c r="C296" s="710" t="s">
        <v>652</v>
      </c>
      <c r="D296" s="710" t="s">
        <v>26</v>
      </c>
      <c r="E296" s="710"/>
      <c r="F296" s="3"/>
    </row>
    <row r="297" spans="1:6" ht="15" customHeight="1">
      <c r="A297" t="s">
        <v>1866</v>
      </c>
      <c r="B297" t="s">
        <v>1867</v>
      </c>
      <c r="C297" s="710"/>
      <c r="D297" s="710"/>
      <c r="E297" s="710"/>
      <c r="F297" s="3"/>
    </row>
    <row r="298" spans="1:6" ht="15" customHeight="1">
      <c r="A298" t="s">
        <v>1868</v>
      </c>
      <c r="B298" t="s">
        <v>1869</v>
      </c>
      <c r="C298" s="710" t="s">
        <v>652</v>
      </c>
      <c r="D298" s="710" t="s">
        <v>26</v>
      </c>
      <c r="E298" s="710"/>
      <c r="F298" s="3"/>
    </row>
    <row r="299" spans="1:6" ht="15" customHeight="1">
      <c r="A299" t="s">
        <v>1870</v>
      </c>
      <c r="B299" t="s">
        <v>1871</v>
      </c>
      <c r="C299" s="710" t="s">
        <v>652</v>
      </c>
      <c r="D299" s="710" t="s">
        <v>36</v>
      </c>
      <c r="E299" s="710"/>
      <c r="F299" s="3"/>
    </row>
    <row r="300" spans="1:6" ht="15" customHeight="1">
      <c r="A300" t="s">
        <v>1874</v>
      </c>
      <c r="B300" t="s">
        <v>1875</v>
      </c>
      <c r="C300" s="710" t="s">
        <v>652</v>
      </c>
      <c r="D300" s="710" t="s">
        <v>26</v>
      </c>
      <c r="E300" s="710"/>
      <c r="F300" s="3"/>
    </row>
    <row r="301" spans="1:6" ht="15" customHeight="1">
      <c r="A301" t="s">
        <v>1872</v>
      </c>
      <c r="B301" t="s">
        <v>1873</v>
      </c>
      <c r="C301" s="710" t="s">
        <v>652</v>
      </c>
      <c r="D301" s="710" t="s">
        <v>36</v>
      </c>
      <c r="E301" s="710"/>
      <c r="F301" s="3"/>
    </row>
    <row r="302" spans="1:6" ht="15" customHeight="1">
      <c r="A302" t="s">
        <v>1876</v>
      </c>
      <c r="B302" t="s">
        <v>1877</v>
      </c>
      <c r="C302" s="710" t="s">
        <v>652</v>
      </c>
      <c r="D302" s="710" t="s">
        <v>36</v>
      </c>
      <c r="E302" s="710"/>
      <c r="F302" s="3"/>
    </row>
    <row r="303" spans="1:6" ht="15" customHeight="1">
      <c r="A303" t="s">
        <v>1878</v>
      </c>
      <c r="B303" t="s">
        <v>1879</v>
      </c>
      <c r="C303" s="710" t="s">
        <v>652</v>
      </c>
      <c r="D303" s="710" t="s">
        <v>36</v>
      </c>
      <c r="E303" s="710"/>
      <c r="F303" s="3"/>
    </row>
    <row r="304" spans="1:6" ht="15" customHeight="1">
      <c r="A304" t="s">
        <v>1880</v>
      </c>
      <c r="B304" t="s">
        <v>1881</v>
      </c>
      <c r="C304" s="710" t="s">
        <v>652</v>
      </c>
      <c r="D304" s="710" t="s">
        <v>36</v>
      </c>
      <c r="E304" s="710"/>
      <c r="F304" s="3"/>
    </row>
    <row r="305" spans="1:6" ht="15" customHeight="1">
      <c r="A305" t="s">
        <v>3150</v>
      </c>
      <c r="B305" t="s">
        <v>3151</v>
      </c>
      <c r="C305" s="710" t="s">
        <v>652</v>
      </c>
      <c r="D305" s="710" t="s">
        <v>36</v>
      </c>
      <c r="E305" s="710"/>
      <c r="F305" s="3"/>
    </row>
    <row r="306" spans="1:6" ht="15" customHeight="1">
      <c r="A306" t="s">
        <v>1882</v>
      </c>
      <c r="B306" t="s">
        <v>1883</v>
      </c>
      <c r="C306" s="710" t="s">
        <v>652</v>
      </c>
      <c r="D306" s="710" t="s">
        <v>36</v>
      </c>
      <c r="E306" s="710"/>
      <c r="F306" s="3"/>
    </row>
    <row r="307" spans="1:6" ht="15" customHeight="1">
      <c r="A307" t="s">
        <v>3152</v>
      </c>
      <c r="B307" t="s">
        <v>3153</v>
      </c>
      <c r="C307" s="710" t="s">
        <v>652</v>
      </c>
      <c r="D307" s="710" t="s">
        <v>36</v>
      </c>
      <c r="E307" s="710"/>
      <c r="F307" s="3"/>
    </row>
    <row r="308" spans="1:6" ht="15" customHeight="1">
      <c r="A308" t="s">
        <v>1884</v>
      </c>
      <c r="B308" t="s">
        <v>1885</v>
      </c>
      <c r="C308" s="710"/>
      <c r="D308" s="710"/>
      <c r="E308" s="710"/>
      <c r="F308" s="3"/>
    </row>
    <row r="309" spans="1:6" ht="15" customHeight="1">
      <c r="A309" t="s">
        <v>1886</v>
      </c>
      <c r="B309" t="s">
        <v>1887</v>
      </c>
      <c r="C309" s="710" t="s">
        <v>652</v>
      </c>
      <c r="D309" s="710" t="s">
        <v>36</v>
      </c>
      <c r="E309" s="710"/>
      <c r="F309" s="3"/>
    </row>
    <row r="310" spans="1:6" ht="15" customHeight="1">
      <c r="A310" t="s">
        <v>1890</v>
      </c>
      <c r="B310" t="s">
        <v>1891</v>
      </c>
      <c r="C310" s="710" t="s">
        <v>652</v>
      </c>
      <c r="D310" s="710" t="s">
        <v>36</v>
      </c>
      <c r="E310" s="710"/>
      <c r="F310" s="3"/>
    </row>
    <row r="311" spans="1:6" ht="15" customHeight="1">
      <c r="A311" t="s">
        <v>1892</v>
      </c>
      <c r="B311" t="s">
        <v>1893</v>
      </c>
      <c r="C311" s="710" t="s">
        <v>652</v>
      </c>
      <c r="D311" s="710" t="s">
        <v>36</v>
      </c>
      <c r="E311" s="710"/>
      <c r="F311" s="3"/>
    </row>
    <row r="312" spans="1:6" ht="15" customHeight="1">
      <c r="A312" t="s">
        <v>1894</v>
      </c>
      <c r="B312" t="s">
        <v>1895</v>
      </c>
      <c r="C312" s="710"/>
      <c r="D312" s="710"/>
      <c r="E312" s="710"/>
      <c r="F312" s="3"/>
    </row>
    <row r="313" spans="1:6" ht="15" customHeight="1">
      <c r="A313" t="s">
        <v>1896</v>
      </c>
      <c r="B313" t="s">
        <v>1897</v>
      </c>
      <c r="C313" s="710" t="s">
        <v>652</v>
      </c>
      <c r="D313" s="710" t="s">
        <v>36</v>
      </c>
      <c r="E313" s="710"/>
      <c r="F313" s="3"/>
    </row>
    <row r="314" spans="1:6" ht="15" customHeight="1">
      <c r="A314" s="937" t="s">
        <v>1898</v>
      </c>
      <c r="B314" s="937" t="s">
        <v>1899</v>
      </c>
      <c r="C314" s="940" t="s">
        <v>652</v>
      </c>
      <c r="D314" s="940" t="s">
        <v>26</v>
      </c>
      <c r="E314" s="940"/>
      <c r="F314" s="3"/>
    </row>
    <row r="315" spans="1:6" ht="15" customHeight="1">
      <c r="A315" s="937" t="s">
        <v>1900</v>
      </c>
      <c r="B315" s="937" t="s">
        <v>1901</v>
      </c>
      <c r="C315" s="940" t="s">
        <v>652</v>
      </c>
      <c r="D315" s="940" t="s">
        <v>26</v>
      </c>
      <c r="E315" s="940"/>
      <c r="F315" s="3"/>
    </row>
    <row r="316" spans="1:6" ht="15" customHeight="1">
      <c r="A316" t="s">
        <v>1904</v>
      </c>
      <c r="B316" t="s">
        <v>1905</v>
      </c>
      <c r="C316" s="710" t="s">
        <v>652</v>
      </c>
      <c r="D316" s="710" t="s">
        <v>21</v>
      </c>
      <c r="E316" s="710"/>
      <c r="F316" s="3"/>
    </row>
    <row r="317" spans="1:6" ht="15" customHeight="1">
      <c r="A317" t="s">
        <v>1906</v>
      </c>
      <c r="B317" t="s">
        <v>1907</v>
      </c>
      <c r="C317" s="710" t="s">
        <v>652</v>
      </c>
      <c r="D317" s="710" t="s">
        <v>21</v>
      </c>
      <c r="E317" s="710"/>
      <c r="F317" s="3"/>
    </row>
    <row r="318" spans="1:6" ht="15" customHeight="1">
      <c r="A318" t="s">
        <v>1908</v>
      </c>
      <c r="B318" t="s">
        <v>1909</v>
      </c>
      <c r="C318" s="710" t="s">
        <v>652</v>
      </c>
      <c r="D318" s="710" t="s">
        <v>21</v>
      </c>
      <c r="E318" s="710"/>
      <c r="F318" s="3"/>
    </row>
    <row r="319" spans="1:6" ht="15" customHeight="1">
      <c r="A319" t="s">
        <v>1910</v>
      </c>
      <c r="B319" t="s">
        <v>1911</v>
      </c>
      <c r="C319" s="710" t="s">
        <v>652</v>
      </c>
      <c r="D319" s="710" t="s">
        <v>21</v>
      </c>
      <c r="E319" s="710"/>
      <c r="F319" s="3"/>
    </row>
    <row r="320" spans="1:6" ht="15" customHeight="1">
      <c r="A320" t="s">
        <v>1912</v>
      </c>
      <c r="B320" t="s">
        <v>1913</v>
      </c>
      <c r="C320" s="710" t="s">
        <v>652</v>
      </c>
      <c r="D320" s="710" t="s">
        <v>21</v>
      </c>
      <c r="E320" s="710"/>
      <c r="F320" s="3"/>
    </row>
    <row r="321" spans="1:6" ht="15" customHeight="1">
      <c r="A321" t="s">
        <v>1914</v>
      </c>
      <c r="B321" t="s">
        <v>1915</v>
      </c>
      <c r="C321" s="710" t="s">
        <v>652</v>
      </c>
      <c r="D321" s="710" t="s">
        <v>21</v>
      </c>
      <c r="E321" s="710"/>
      <c r="F321" s="3"/>
    </row>
    <row r="322" spans="1:6" ht="15" customHeight="1">
      <c r="A322" t="s">
        <v>1918</v>
      </c>
      <c r="B322" t="s">
        <v>1919</v>
      </c>
      <c r="C322" s="710" t="s">
        <v>652</v>
      </c>
      <c r="D322" s="710" t="s">
        <v>42</v>
      </c>
      <c r="E322" s="710"/>
      <c r="F322" s="3"/>
    </row>
    <row r="323" spans="1:6" ht="15" customHeight="1">
      <c r="A323" t="s">
        <v>1922</v>
      </c>
      <c r="B323" t="s">
        <v>1923</v>
      </c>
      <c r="C323" s="710" t="s">
        <v>652</v>
      </c>
      <c r="D323" s="710" t="s">
        <v>42</v>
      </c>
      <c r="E323" s="710"/>
      <c r="F323" s="3"/>
    </row>
    <row r="324" spans="1:6" ht="15" customHeight="1">
      <c r="A324" t="s">
        <v>1924</v>
      </c>
      <c r="B324" t="s">
        <v>1925</v>
      </c>
      <c r="C324" s="710" t="s">
        <v>652</v>
      </c>
      <c r="D324" s="710" t="s">
        <v>44</v>
      </c>
      <c r="E324" s="710"/>
      <c r="F324" s="3"/>
    </row>
    <row r="325" spans="1:6" ht="15" customHeight="1">
      <c r="A325" t="s">
        <v>1928</v>
      </c>
      <c r="B325" t="s">
        <v>1929</v>
      </c>
      <c r="C325" s="710" t="s">
        <v>652</v>
      </c>
      <c r="D325" s="710" t="s">
        <v>44</v>
      </c>
      <c r="E325" s="710"/>
      <c r="F325" s="3"/>
    </row>
    <row r="326" spans="1:6" ht="15" customHeight="1">
      <c r="A326" t="s">
        <v>1930</v>
      </c>
      <c r="B326" t="s">
        <v>1931</v>
      </c>
      <c r="C326" s="710" t="s">
        <v>652</v>
      </c>
      <c r="D326" s="710" t="s">
        <v>44</v>
      </c>
      <c r="E326" s="710"/>
      <c r="F326" s="3"/>
    </row>
    <row r="327" spans="1:6" ht="15" customHeight="1">
      <c r="A327" t="s">
        <v>1934</v>
      </c>
      <c r="B327" t="s">
        <v>1935</v>
      </c>
      <c r="C327" s="710" t="s">
        <v>652</v>
      </c>
      <c r="D327" s="710" t="s">
        <v>46</v>
      </c>
      <c r="E327" s="710"/>
      <c r="F327" s="3"/>
    </row>
    <row r="328" spans="1:6" ht="15" customHeight="1">
      <c r="A328" t="s">
        <v>1936</v>
      </c>
      <c r="B328" t="s">
        <v>1937</v>
      </c>
      <c r="C328" s="710" t="s">
        <v>652</v>
      </c>
      <c r="D328" s="710" t="s">
        <v>46</v>
      </c>
      <c r="E328" s="710"/>
      <c r="F328" s="3"/>
    </row>
    <row r="329" spans="1:6" ht="15" customHeight="1">
      <c r="A329" t="s">
        <v>1940</v>
      </c>
      <c r="B329" t="s">
        <v>1941</v>
      </c>
      <c r="C329" s="710" t="s">
        <v>652</v>
      </c>
      <c r="D329" s="710" t="s">
        <v>46</v>
      </c>
      <c r="E329" s="710"/>
      <c r="F329" s="3"/>
    </row>
    <row r="330" spans="1:6" ht="15" customHeight="1">
      <c r="A330" t="s">
        <v>1942</v>
      </c>
      <c r="B330" t="s">
        <v>1943</v>
      </c>
      <c r="C330" s="710" t="s">
        <v>652</v>
      </c>
      <c r="D330" s="710" t="s">
        <v>46</v>
      </c>
      <c r="E330" s="710"/>
      <c r="F330" s="3"/>
    </row>
    <row r="331" spans="1:6" ht="15" customHeight="1">
      <c r="A331" t="s">
        <v>1944</v>
      </c>
      <c r="B331" t="s">
        <v>1945</v>
      </c>
      <c r="C331" s="710" t="s">
        <v>652</v>
      </c>
      <c r="D331" s="710" t="s">
        <v>46</v>
      </c>
      <c r="E331" s="710"/>
      <c r="F331" s="3"/>
    </row>
    <row r="332" spans="1:6" ht="15" customHeight="1">
      <c r="A332" t="s">
        <v>1946</v>
      </c>
      <c r="B332" t="s">
        <v>1947</v>
      </c>
      <c r="C332" s="710" t="s">
        <v>652</v>
      </c>
      <c r="D332" s="710" t="s">
        <v>46</v>
      </c>
      <c r="E332" s="710"/>
      <c r="F332" s="3"/>
    </row>
    <row r="333" spans="1:6" ht="15" customHeight="1">
      <c r="A333" t="s">
        <v>1948</v>
      </c>
      <c r="B333" t="s">
        <v>1949</v>
      </c>
      <c r="C333" s="710" t="s">
        <v>652</v>
      </c>
      <c r="D333" s="710" t="s">
        <v>46</v>
      </c>
      <c r="E333" s="710"/>
      <c r="F333" s="3"/>
    </row>
    <row r="334" spans="1:6" ht="15" customHeight="1">
      <c r="A334" t="s">
        <v>1950</v>
      </c>
      <c r="B334" t="s">
        <v>1951</v>
      </c>
      <c r="C334" s="710" t="s">
        <v>652</v>
      </c>
      <c r="D334" s="710" t="s">
        <v>54</v>
      </c>
      <c r="E334" s="710"/>
      <c r="F334" s="3"/>
    </row>
    <row r="335" spans="1:6" ht="15" customHeight="1">
      <c r="A335" t="s">
        <v>1952</v>
      </c>
      <c r="B335" t="s">
        <v>1953</v>
      </c>
      <c r="C335" s="710" t="s">
        <v>652</v>
      </c>
      <c r="D335" s="710" t="s">
        <v>54</v>
      </c>
      <c r="E335" s="710"/>
      <c r="F335" s="3"/>
    </row>
    <row r="336" spans="1:6" ht="15" customHeight="1">
      <c r="A336" t="s">
        <v>1954</v>
      </c>
      <c r="B336" t="s">
        <v>1955</v>
      </c>
      <c r="C336" s="710" t="s">
        <v>652</v>
      </c>
      <c r="D336" s="710" t="s">
        <v>54</v>
      </c>
      <c r="E336" s="710"/>
      <c r="F336" s="3"/>
    </row>
    <row r="337" spans="1:6" ht="15" customHeight="1">
      <c r="A337" t="s">
        <v>1956</v>
      </c>
      <c r="B337" t="s">
        <v>1957</v>
      </c>
      <c r="C337" s="710" t="s">
        <v>652</v>
      </c>
      <c r="D337" s="710" t="s">
        <v>52</v>
      </c>
      <c r="E337" s="710"/>
      <c r="F337" s="3"/>
    </row>
    <row r="338" spans="1:6" ht="15" customHeight="1">
      <c r="A338" t="s">
        <v>1958</v>
      </c>
      <c r="B338" t="s">
        <v>1959</v>
      </c>
      <c r="C338" s="710" t="s">
        <v>652</v>
      </c>
      <c r="D338" s="710" t="s">
        <v>52</v>
      </c>
      <c r="E338" s="710"/>
      <c r="F338" s="3"/>
    </row>
    <row r="339" spans="1:6" ht="15" customHeight="1">
      <c r="A339" t="s">
        <v>1960</v>
      </c>
      <c r="B339" t="s">
        <v>1961</v>
      </c>
      <c r="C339" s="710" t="s">
        <v>652</v>
      </c>
      <c r="D339" s="710" t="s">
        <v>52</v>
      </c>
      <c r="E339" s="710"/>
      <c r="F339" s="3"/>
    </row>
    <row r="340" spans="1:6" ht="15" customHeight="1">
      <c r="A340" t="s">
        <v>1962</v>
      </c>
      <c r="B340" t="s">
        <v>1963</v>
      </c>
      <c r="C340" s="710" t="s">
        <v>652</v>
      </c>
      <c r="D340" s="710" t="s">
        <v>52</v>
      </c>
      <c r="E340" s="710"/>
      <c r="F340" s="3"/>
    </row>
    <row r="341" spans="1:6" ht="15" customHeight="1">
      <c r="A341" t="s">
        <v>1964</v>
      </c>
      <c r="B341" t="s">
        <v>1965</v>
      </c>
      <c r="C341" s="710" t="s">
        <v>652</v>
      </c>
      <c r="D341" s="710" t="s">
        <v>38</v>
      </c>
      <c r="E341" s="710"/>
      <c r="F341" s="3"/>
    </row>
    <row r="342" spans="1:6" ht="15" customHeight="1">
      <c r="A342" t="s">
        <v>1968</v>
      </c>
      <c r="B342" t="s">
        <v>1969</v>
      </c>
      <c r="C342" s="710"/>
      <c r="D342" s="710"/>
      <c r="E342" s="710"/>
      <c r="F342" s="3"/>
    </row>
    <row r="343" spans="1:6" ht="15" customHeight="1">
      <c r="A343" s="937" t="s">
        <v>1970</v>
      </c>
      <c r="B343" s="937" t="s">
        <v>1971</v>
      </c>
      <c r="C343" s="940" t="s">
        <v>652</v>
      </c>
      <c r="D343" s="940" t="s">
        <v>21</v>
      </c>
      <c r="E343" s="940"/>
      <c r="F343" s="3"/>
    </row>
    <row r="344" spans="1:6" ht="15" customHeight="1">
      <c r="A344" t="s">
        <v>1972</v>
      </c>
      <c r="B344" t="s">
        <v>1973</v>
      </c>
      <c r="C344" s="710" t="s">
        <v>652</v>
      </c>
      <c r="D344" s="710" t="s">
        <v>28</v>
      </c>
      <c r="E344" s="710"/>
      <c r="F344" s="3"/>
    </row>
    <row r="345" spans="1:6" ht="15" customHeight="1">
      <c r="A345" t="s">
        <v>1974</v>
      </c>
      <c r="B345" t="s">
        <v>1975</v>
      </c>
      <c r="C345" s="710" t="s">
        <v>652</v>
      </c>
      <c r="D345" s="710" t="s">
        <v>28</v>
      </c>
      <c r="E345" s="710"/>
      <c r="F345" s="3"/>
    </row>
    <row r="346" spans="1:6" ht="15" customHeight="1">
      <c r="A346" t="s">
        <v>1976</v>
      </c>
      <c r="B346" t="s">
        <v>1977</v>
      </c>
      <c r="C346" s="710" t="s">
        <v>652</v>
      </c>
      <c r="D346" s="710" t="s">
        <v>28</v>
      </c>
      <c r="E346" s="710"/>
      <c r="F346" s="3"/>
    </row>
    <row r="347" spans="1:6" ht="15" customHeight="1">
      <c r="A347" t="s">
        <v>1978</v>
      </c>
      <c r="B347" t="s">
        <v>1979</v>
      </c>
      <c r="C347" s="710" t="s">
        <v>652</v>
      </c>
      <c r="D347" s="710" t="s">
        <v>56</v>
      </c>
      <c r="E347" s="710"/>
      <c r="F347" s="3"/>
    </row>
    <row r="348" spans="1:6" ht="14.4" customHeight="1">
      <c r="A348" t="s">
        <v>1980</v>
      </c>
      <c r="B348" t="s">
        <v>1981</v>
      </c>
      <c r="C348" s="710" t="s">
        <v>652</v>
      </c>
      <c r="D348" s="710" t="s">
        <v>32</v>
      </c>
      <c r="E348" s="710"/>
      <c r="F348" s="3"/>
    </row>
    <row r="349" spans="1:6" ht="15" customHeight="1">
      <c r="A349" t="s">
        <v>1988</v>
      </c>
      <c r="B349" t="s">
        <v>1989</v>
      </c>
      <c r="C349" s="710" t="s">
        <v>652</v>
      </c>
      <c r="D349" s="710" t="s">
        <v>38</v>
      </c>
      <c r="E349" s="710"/>
      <c r="F349" s="3"/>
    </row>
    <row r="350" spans="1:6" ht="15" customHeight="1">
      <c r="A350" t="s">
        <v>1990</v>
      </c>
      <c r="B350" t="s">
        <v>1991</v>
      </c>
      <c r="C350" s="710" t="s">
        <v>652</v>
      </c>
      <c r="D350" s="710" t="s">
        <v>56</v>
      </c>
      <c r="E350" s="710"/>
      <c r="F350" s="3"/>
    </row>
    <row r="351" spans="1:6" ht="15" customHeight="1">
      <c r="A351" t="s">
        <v>1992</v>
      </c>
      <c r="B351" t="s">
        <v>1993</v>
      </c>
      <c r="C351" s="710" t="s">
        <v>652</v>
      </c>
      <c r="D351" s="710" t="s">
        <v>56</v>
      </c>
      <c r="E351" s="710"/>
      <c r="F351" s="3"/>
    </row>
    <row r="352" spans="1:6" ht="15" customHeight="1">
      <c r="A352" t="s">
        <v>1994</v>
      </c>
      <c r="B352" t="s">
        <v>1995</v>
      </c>
      <c r="C352" s="710" t="s">
        <v>652</v>
      </c>
      <c r="D352" s="710" t="s">
        <v>56</v>
      </c>
      <c r="E352" s="710"/>
      <c r="F352" s="3"/>
    </row>
    <row r="353" spans="1:6" ht="15" customHeight="1">
      <c r="A353" t="s">
        <v>1996</v>
      </c>
      <c r="B353" t="s">
        <v>1997</v>
      </c>
      <c r="C353" s="710" t="s">
        <v>652</v>
      </c>
      <c r="D353" s="710" t="s">
        <v>56</v>
      </c>
      <c r="E353" s="710"/>
      <c r="F353" s="3"/>
    </row>
    <row r="354" spans="1:6" ht="15" customHeight="1">
      <c r="A354" t="s">
        <v>2000</v>
      </c>
      <c r="B354" t="s">
        <v>2001</v>
      </c>
      <c r="C354" s="710" t="s">
        <v>652</v>
      </c>
      <c r="D354" s="710" t="s">
        <v>56</v>
      </c>
      <c r="E354" s="710"/>
      <c r="F354" s="3"/>
    </row>
    <row r="355" spans="1:6" ht="15" customHeight="1">
      <c r="A355" t="s">
        <v>2002</v>
      </c>
      <c r="B355" t="s">
        <v>2003</v>
      </c>
      <c r="C355" s="710" t="s">
        <v>652</v>
      </c>
      <c r="D355" s="710" t="s">
        <v>56</v>
      </c>
      <c r="E355" s="710"/>
      <c r="F355" s="3"/>
    </row>
    <row r="356" spans="1:6" ht="15" customHeight="1">
      <c r="A356" t="s">
        <v>2004</v>
      </c>
      <c r="B356" t="s">
        <v>2005</v>
      </c>
      <c r="C356" s="710" t="s">
        <v>652</v>
      </c>
      <c r="D356" s="710" t="s">
        <v>56</v>
      </c>
      <c r="E356" s="710"/>
      <c r="F356" s="3"/>
    </row>
    <row r="357" spans="1:6" ht="15" customHeight="1">
      <c r="A357" t="s">
        <v>2006</v>
      </c>
      <c r="B357" t="s">
        <v>2007</v>
      </c>
      <c r="C357" s="710" t="s">
        <v>652</v>
      </c>
      <c r="D357" s="710" t="s">
        <v>56</v>
      </c>
      <c r="E357" s="710"/>
      <c r="F357" s="3"/>
    </row>
    <row r="358" spans="1:6" ht="15" customHeight="1">
      <c r="A358" t="s">
        <v>2008</v>
      </c>
      <c r="B358" t="s">
        <v>2009</v>
      </c>
      <c r="C358" s="710" t="s">
        <v>652</v>
      </c>
      <c r="D358" s="710" t="s">
        <v>56</v>
      </c>
      <c r="E358" s="710"/>
      <c r="F358" s="3"/>
    </row>
    <row r="359" spans="1:6" ht="15" customHeight="1">
      <c r="A359" t="s">
        <v>2010</v>
      </c>
      <c r="B359" t="s">
        <v>2011</v>
      </c>
      <c r="C359" s="710" t="s">
        <v>652</v>
      </c>
      <c r="D359" s="710" t="s">
        <v>56</v>
      </c>
      <c r="E359" s="710"/>
      <c r="F359" s="3"/>
    </row>
    <row r="360" spans="1:6" ht="15" customHeight="1">
      <c r="A360" t="s">
        <v>2014</v>
      </c>
      <c r="B360" t="s">
        <v>2015</v>
      </c>
      <c r="C360" s="710"/>
      <c r="D360" s="710"/>
      <c r="E360" s="710"/>
      <c r="F360" s="3"/>
    </row>
    <row r="361" spans="1:6" ht="15" customHeight="1">
      <c r="A361" t="s">
        <v>2016</v>
      </c>
      <c r="B361" t="s">
        <v>2017</v>
      </c>
      <c r="C361" s="710" t="s">
        <v>652</v>
      </c>
      <c r="D361" s="710" t="s">
        <v>70</v>
      </c>
      <c r="E361" s="710"/>
      <c r="F361" s="3"/>
    </row>
    <row r="362" spans="1:6" ht="15" customHeight="1">
      <c r="A362" t="s">
        <v>2018</v>
      </c>
      <c r="B362" t="s">
        <v>2019</v>
      </c>
      <c r="C362" s="710" t="s">
        <v>652</v>
      </c>
      <c r="D362" s="710" t="s">
        <v>70</v>
      </c>
      <c r="E362" s="710"/>
      <c r="F362" s="3"/>
    </row>
    <row r="363" spans="1:6" ht="15" customHeight="1">
      <c r="A363" t="s">
        <v>2020</v>
      </c>
      <c r="B363" t="s">
        <v>2021</v>
      </c>
      <c r="C363" s="710" t="s">
        <v>652</v>
      </c>
      <c r="D363" s="710" t="s">
        <v>70</v>
      </c>
      <c r="E363" s="710"/>
      <c r="F363" s="3"/>
    </row>
    <row r="364" spans="1:6" ht="15" customHeight="1">
      <c r="A364" t="s">
        <v>2022</v>
      </c>
      <c r="B364" t="s">
        <v>2023</v>
      </c>
      <c r="C364" s="710" t="s">
        <v>652</v>
      </c>
      <c r="D364" s="710" t="s">
        <v>71</v>
      </c>
      <c r="E364" s="710"/>
      <c r="F364" s="3"/>
    </row>
    <row r="365" spans="1:6" ht="15" customHeight="1">
      <c r="A365" t="s">
        <v>2024</v>
      </c>
      <c r="B365" t="s">
        <v>2025</v>
      </c>
      <c r="C365" s="710" t="s">
        <v>652</v>
      </c>
      <c r="D365" s="710" t="s">
        <v>70</v>
      </c>
      <c r="E365" s="710"/>
      <c r="F365" s="3"/>
    </row>
    <row r="366" spans="1:6" ht="15" customHeight="1">
      <c r="A366" t="s">
        <v>2026</v>
      </c>
      <c r="B366" t="s">
        <v>2027</v>
      </c>
      <c r="C366" s="710" t="s">
        <v>652</v>
      </c>
      <c r="D366" s="710" t="s">
        <v>66</v>
      </c>
      <c r="E366" s="710"/>
      <c r="F366" s="3"/>
    </row>
    <row r="367" spans="1:6" ht="15" customHeight="1">
      <c r="A367" t="s">
        <v>2028</v>
      </c>
      <c r="B367" t="s">
        <v>2029</v>
      </c>
      <c r="C367" s="710" t="s">
        <v>652</v>
      </c>
      <c r="D367" s="710" t="s">
        <v>72</v>
      </c>
      <c r="E367" s="710"/>
      <c r="F367" s="3"/>
    </row>
    <row r="368" spans="1:6" ht="15" customHeight="1">
      <c r="A368" t="s">
        <v>2030</v>
      </c>
      <c r="B368" t="s">
        <v>647</v>
      </c>
      <c r="C368" s="710" t="s">
        <v>652</v>
      </c>
      <c r="D368" s="710" t="s">
        <v>75</v>
      </c>
      <c r="E368" s="710"/>
      <c r="F368" s="3"/>
    </row>
    <row r="369" spans="1:6" ht="15" customHeight="1">
      <c r="A369" t="s">
        <v>2031</v>
      </c>
      <c r="B369" t="s">
        <v>2032</v>
      </c>
      <c r="C369" s="710"/>
      <c r="D369" s="710"/>
      <c r="E369" s="710"/>
      <c r="F369" s="3"/>
    </row>
    <row r="370" spans="1:6" ht="15" customHeight="1">
      <c r="A370" t="s">
        <v>2033</v>
      </c>
      <c r="B370" t="s">
        <v>2034</v>
      </c>
      <c r="C370" s="710" t="s">
        <v>652</v>
      </c>
      <c r="D370" s="710" t="s">
        <v>78</v>
      </c>
      <c r="E370" s="710"/>
      <c r="F370" s="3"/>
    </row>
    <row r="371" spans="1:6" ht="15" customHeight="1">
      <c r="A371" t="s">
        <v>2035</v>
      </c>
      <c r="B371" t="s">
        <v>2036</v>
      </c>
      <c r="C371" s="710" t="s">
        <v>652</v>
      </c>
      <c r="D371" s="710" t="s">
        <v>21</v>
      </c>
      <c r="E371" s="710"/>
      <c r="F371" s="3"/>
    </row>
    <row r="372" spans="1:6" ht="15" customHeight="1">
      <c r="A372" t="s">
        <v>2037</v>
      </c>
      <c r="B372" t="s">
        <v>2038</v>
      </c>
      <c r="C372" s="710" t="s">
        <v>652</v>
      </c>
      <c r="D372" s="710" t="s">
        <v>78</v>
      </c>
      <c r="E372" s="710"/>
      <c r="F372" s="3"/>
    </row>
    <row r="373" spans="1:6" ht="15" customHeight="1">
      <c r="A373" t="s">
        <v>2039</v>
      </c>
      <c r="B373" t="s">
        <v>2040</v>
      </c>
      <c r="C373" s="710" t="s">
        <v>652</v>
      </c>
      <c r="D373" s="710" t="s">
        <v>78</v>
      </c>
      <c r="E373" s="710"/>
      <c r="F373" s="3"/>
    </row>
    <row r="374" spans="1:6" ht="15" customHeight="1">
      <c r="A374" t="s">
        <v>2041</v>
      </c>
      <c r="B374" t="s">
        <v>2042</v>
      </c>
      <c r="C374" s="710" t="s">
        <v>652</v>
      </c>
      <c r="D374" s="710" t="s">
        <v>29</v>
      </c>
      <c r="E374" s="710"/>
      <c r="F374" s="3"/>
    </row>
    <row r="375" spans="1:6" ht="15" customHeight="1">
      <c r="A375" t="s">
        <v>2045</v>
      </c>
      <c r="B375" t="s">
        <v>2046</v>
      </c>
      <c r="C375" s="710" t="s">
        <v>652</v>
      </c>
      <c r="D375" s="710" t="s">
        <v>39</v>
      </c>
      <c r="E375" s="710"/>
      <c r="F375" s="3"/>
    </row>
    <row r="376" spans="1:6" ht="15" customHeight="1">
      <c r="A376" t="s">
        <v>2047</v>
      </c>
      <c r="B376" t="s">
        <v>2048</v>
      </c>
      <c r="C376" s="710" t="s">
        <v>652</v>
      </c>
      <c r="D376" s="710" t="s">
        <v>39</v>
      </c>
      <c r="E376" s="710"/>
      <c r="F376" s="3"/>
    </row>
    <row r="377" spans="1:6" ht="15" customHeight="1">
      <c r="A377" t="s">
        <v>2049</v>
      </c>
      <c r="B377" t="s">
        <v>2050</v>
      </c>
      <c r="C377" s="710" t="s">
        <v>652</v>
      </c>
      <c r="D377" s="710" t="s">
        <v>31</v>
      </c>
      <c r="E377" s="710"/>
      <c r="F377" s="3"/>
    </row>
    <row r="378" spans="1:6" ht="15" customHeight="1">
      <c r="A378" t="s">
        <v>2051</v>
      </c>
      <c r="B378" t="s">
        <v>2052</v>
      </c>
      <c r="C378" s="710" t="s">
        <v>652</v>
      </c>
      <c r="D378" s="710" t="s">
        <v>37</v>
      </c>
      <c r="E378" s="710"/>
      <c r="F378" s="3"/>
    </row>
    <row r="379" spans="1:6" ht="15" customHeight="1">
      <c r="A379" t="s">
        <v>2053</v>
      </c>
      <c r="B379" t="s">
        <v>2054</v>
      </c>
      <c r="C379" s="710" t="s">
        <v>652</v>
      </c>
      <c r="D379" s="710" t="s">
        <v>37</v>
      </c>
      <c r="E379" s="710"/>
      <c r="F379" s="3"/>
    </row>
    <row r="380" spans="1:6" ht="15" customHeight="1">
      <c r="A380" s="937" t="s">
        <v>2055</v>
      </c>
      <c r="B380" s="937" t="s">
        <v>2056</v>
      </c>
      <c r="C380" s="940" t="s">
        <v>652</v>
      </c>
      <c r="D380" s="940" t="s">
        <v>37</v>
      </c>
      <c r="E380" s="940"/>
      <c r="F380" s="3"/>
    </row>
    <row r="381" spans="1:6" ht="15" customHeight="1">
      <c r="A381" s="937" t="s">
        <v>2057</v>
      </c>
      <c r="B381" s="937" t="s">
        <v>2058</v>
      </c>
      <c r="C381" s="940" t="s">
        <v>652</v>
      </c>
      <c r="D381" s="940" t="s">
        <v>37</v>
      </c>
      <c r="E381" s="940"/>
      <c r="F381" s="3"/>
    </row>
    <row r="382" spans="1:6" ht="15" customHeight="1">
      <c r="A382" t="s">
        <v>2059</v>
      </c>
      <c r="B382" t="s">
        <v>2060</v>
      </c>
      <c r="C382" s="710"/>
      <c r="D382" s="710"/>
      <c r="E382" s="710"/>
      <c r="F382" s="3"/>
    </row>
    <row r="383" spans="1:6" ht="15" customHeight="1">
      <c r="A383" t="s">
        <v>2061</v>
      </c>
      <c r="B383" t="s">
        <v>2062</v>
      </c>
      <c r="C383" s="710" t="s">
        <v>652</v>
      </c>
      <c r="D383" s="710" t="s">
        <v>53</v>
      </c>
      <c r="E383" s="710"/>
      <c r="F383" s="3"/>
    </row>
    <row r="384" spans="1:6" ht="15" customHeight="1">
      <c r="A384" t="s">
        <v>2063</v>
      </c>
      <c r="B384" t="s">
        <v>2064</v>
      </c>
      <c r="C384" s="710" t="s">
        <v>652</v>
      </c>
      <c r="D384" s="710" t="s">
        <v>53</v>
      </c>
      <c r="E384" s="710"/>
      <c r="F384" s="3"/>
    </row>
    <row r="385" spans="1:6" ht="15" customHeight="1">
      <c r="A385" t="s">
        <v>2065</v>
      </c>
      <c r="B385" t="s">
        <v>2066</v>
      </c>
      <c r="C385" s="710" t="s">
        <v>652</v>
      </c>
      <c r="D385" s="710" t="s">
        <v>53</v>
      </c>
      <c r="E385" s="710"/>
      <c r="F385" s="3"/>
    </row>
    <row r="386" spans="1:6" ht="15" customHeight="1">
      <c r="A386" t="s">
        <v>2067</v>
      </c>
      <c r="B386" t="s">
        <v>2068</v>
      </c>
      <c r="C386" s="710" t="s">
        <v>652</v>
      </c>
      <c r="D386" s="710" t="s">
        <v>37</v>
      </c>
      <c r="E386" s="710"/>
      <c r="F386" s="3"/>
    </row>
    <row r="387" spans="1:6" ht="15" customHeight="1">
      <c r="A387" t="s">
        <v>2069</v>
      </c>
      <c r="B387" t="s">
        <v>2070</v>
      </c>
      <c r="C387" s="710" t="s">
        <v>652</v>
      </c>
      <c r="D387" s="710" t="s">
        <v>37</v>
      </c>
      <c r="E387" s="710"/>
      <c r="F387" s="3"/>
    </row>
    <row r="388" spans="1:6" ht="15" customHeight="1">
      <c r="A388" t="s">
        <v>2071</v>
      </c>
      <c r="B388" t="s">
        <v>2072</v>
      </c>
      <c r="C388" s="710" t="s">
        <v>652</v>
      </c>
      <c r="D388" s="710" t="s">
        <v>37</v>
      </c>
      <c r="E388" s="710"/>
      <c r="F388" s="3"/>
    </row>
    <row r="389" spans="1:6" ht="15" customHeight="1">
      <c r="A389" t="s">
        <v>2073</v>
      </c>
      <c r="B389" t="s">
        <v>2074</v>
      </c>
      <c r="C389" s="710" t="s">
        <v>652</v>
      </c>
      <c r="D389" s="710" t="s">
        <v>3136</v>
      </c>
      <c r="E389" s="710"/>
      <c r="F389" s="3"/>
    </row>
    <row r="390" spans="1:6" ht="15" customHeight="1">
      <c r="A390" t="s">
        <v>2077</v>
      </c>
      <c r="B390" t="s">
        <v>2076</v>
      </c>
      <c r="C390" s="710" t="s">
        <v>652</v>
      </c>
      <c r="D390" s="710" t="s">
        <v>35</v>
      </c>
      <c r="E390" s="710"/>
      <c r="F390" s="3"/>
    </row>
    <row r="391" spans="1:6" ht="15" customHeight="1">
      <c r="A391" t="s">
        <v>2080</v>
      </c>
      <c r="B391" t="s">
        <v>2081</v>
      </c>
      <c r="C391" s="710" t="s">
        <v>652</v>
      </c>
      <c r="D391" s="710" t="s">
        <v>43</v>
      </c>
      <c r="E391" s="710"/>
      <c r="F391" s="3"/>
    </row>
    <row r="392" spans="1:6" ht="15" customHeight="1">
      <c r="A392" t="s">
        <v>2082</v>
      </c>
      <c r="B392" t="s">
        <v>2083</v>
      </c>
      <c r="C392" s="710" t="s">
        <v>652</v>
      </c>
      <c r="D392" s="710" t="s">
        <v>45</v>
      </c>
      <c r="E392" s="710"/>
      <c r="F392" s="3"/>
    </row>
    <row r="393" spans="1:6" ht="15" customHeight="1">
      <c r="A393" t="s">
        <v>2086</v>
      </c>
      <c r="B393" t="s">
        <v>1143</v>
      </c>
      <c r="C393" s="710"/>
      <c r="D393" s="710"/>
      <c r="E393" s="710"/>
      <c r="F393" s="3"/>
    </row>
    <row r="394" spans="1:6" ht="15" customHeight="1">
      <c r="A394" t="s">
        <v>2089</v>
      </c>
      <c r="B394" t="s">
        <v>2090</v>
      </c>
      <c r="C394" s="710"/>
      <c r="D394" s="710"/>
      <c r="E394" s="710"/>
      <c r="F394" s="3"/>
    </row>
    <row r="395" spans="1:6" ht="15" customHeight="1">
      <c r="A395" t="s">
        <v>2091</v>
      </c>
      <c r="B395" t="s">
        <v>2092</v>
      </c>
      <c r="C395" s="710" t="s">
        <v>652</v>
      </c>
      <c r="D395" s="710" t="s">
        <v>51</v>
      </c>
      <c r="E395" s="710"/>
      <c r="F395" s="3"/>
    </row>
    <row r="396" spans="1:6" ht="15" customHeight="1">
      <c r="A396" t="s">
        <v>2093</v>
      </c>
      <c r="B396" t="s">
        <v>2094</v>
      </c>
      <c r="C396" s="710" t="s">
        <v>652</v>
      </c>
      <c r="D396" s="710" t="s">
        <v>49</v>
      </c>
      <c r="E396" s="710"/>
      <c r="F396" s="3"/>
    </row>
    <row r="397" spans="1:6" ht="15" customHeight="1">
      <c r="A397" t="s">
        <v>2095</v>
      </c>
      <c r="B397" t="s">
        <v>2096</v>
      </c>
      <c r="C397" s="710" t="s">
        <v>652</v>
      </c>
      <c r="D397" s="710" t="s">
        <v>49</v>
      </c>
      <c r="E397" s="710"/>
      <c r="F397" s="3"/>
    </row>
    <row r="398" spans="1:6" ht="15" customHeight="1">
      <c r="A398" t="s">
        <v>2097</v>
      </c>
      <c r="B398" t="s">
        <v>2098</v>
      </c>
      <c r="C398" s="710"/>
      <c r="D398" s="710"/>
      <c r="E398" s="710"/>
      <c r="F398" s="3"/>
    </row>
    <row r="399" spans="1:6" ht="15" customHeight="1">
      <c r="A399" t="s">
        <v>2101</v>
      </c>
      <c r="B399" t="s">
        <v>2102</v>
      </c>
      <c r="C399" s="710"/>
      <c r="D399" s="710"/>
      <c r="E399" s="710"/>
      <c r="F399" s="3"/>
    </row>
    <row r="400" spans="1:6" ht="15" customHeight="1">
      <c r="A400" t="s">
        <v>2105</v>
      </c>
      <c r="B400" t="s">
        <v>2106</v>
      </c>
      <c r="C400" s="710" t="s">
        <v>652</v>
      </c>
      <c r="D400" s="710" t="s">
        <v>56</v>
      </c>
      <c r="E400" s="710"/>
      <c r="F400" s="3"/>
    </row>
    <row r="401" spans="1:6" ht="15" customHeight="1">
      <c r="A401" t="s">
        <v>2107</v>
      </c>
      <c r="B401" t="s">
        <v>2108</v>
      </c>
      <c r="C401" s="710"/>
      <c r="D401" s="710"/>
      <c r="E401" s="710"/>
      <c r="F401" s="3"/>
    </row>
    <row r="402" spans="1:6" ht="15" customHeight="1">
      <c r="A402" t="s">
        <v>2109</v>
      </c>
      <c r="B402" t="s">
        <v>2110</v>
      </c>
      <c r="C402" s="710" t="s">
        <v>652</v>
      </c>
      <c r="D402" s="710" t="s">
        <v>56</v>
      </c>
      <c r="E402" s="710"/>
      <c r="F402" s="3"/>
    </row>
    <row r="403" spans="1:6" ht="15" customHeight="1">
      <c r="A403" t="s">
        <v>2111</v>
      </c>
      <c r="B403" t="s">
        <v>2112</v>
      </c>
      <c r="C403" s="710"/>
      <c r="D403" s="710"/>
      <c r="E403" s="710"/>
      <c r="F403" s="3"/>
    </row>
    <row r="404" spans="1:6" ht="15" customHeight="1">
      <c r="A404" t="s">
        <v>2115</v>
      </c>
      <c r="B404" t="s">
        <v>2116</v>
      </c>
      <c r="C404" s="710"/>
      <c r="D404" s="710"/>
      <c r="E404" s="710"/>
      <c r="F404" s="3"/>
    </row>
    <row r="405" spans="1:6" ht="15" customHeight="1">
      <c r="A405" t="s">
        <v>2117</v>
      </c>
      <c r="B405" t="s">
        <v>2118</v>
      </c>
      <c r="C405" s="710"/>
      <c r="D405" s="710"/>
      <c r="E405" s="710"/>
      <c r="F405" s="3"/>
    </row>
    <row r="406" spans="1:6" ht="15" customHeight="1">
      <c r="A406" t="s">
        <v>2119</v>
      </c>
      <c r="B406" t="s">
        <v>2120</v>
      </c>
      <c r="C406" s="710"/>
      <c r="D406" s="710"/>
      <c r="E406" s="710"/>
      <c r="F406" s="3"/>
    </row>
    <row r="407" spans="1:6" ht="15" customHeight="1">
      <c r="A407" t="s">
        <v>2121</v>
      </c>
      <c r="B407" t="s">
        <v>2122</v>
      </c>
      <c r="C407" s="710" t="s">
        <v>652</v>
      </c>
      <c r="D407" s="710" t="s">
        <v>51</v>
      </c>
      <c r="E407" s="710"/>
      <c r="F407" s="3"/>
    </row>
    <row r="408" spans="1:6" ht="15" customHeight="1">
      <c r="A408" t="s">
        <v>2123</v>
      </c>
      <c r="B408" t="s">
        <v>2124</v>
      </c>
      <c r="C408" s="710" t="s">
        <v>652</v>
      </c>
      <c r="D408" s="710" t="s">
        <v>31</v>
      </c>
      <c r="E408" s="710"/>
      <c r="F408" s="3"/>
    </row>
    <row r="409" spans="1:6" ht="15" customHeight="1">
      <c r="A409" t="s">
        <v>2125</v>
      </c>
      <c r="B409" t="s">
        <v>2126</v>
      </c>
      <c r="C409" s="710" t="s">
        <v>652</v>
      </c>
      <c r="D409" s="710" t="s">
        <v>31</v>
      </c>
      <c r="E409" s="710"/>
      <c r="F409" s="3"/>
    </row>
    <row r="410" spans="1:6" ht="15" customHeight="1">
      <c r="A410" t="s">
        <v>2127</v>
      </c>
      <c r="B410" t="s">
        <v>2128</v>
      </c>
      <c r="C410" s="710" t="s">
        <v>652</v>
      </c>
      <c r="D410" s="710" t="s">
        <v>31</v>
      </c>
      <c r="E410" s="710"/>
      <c r="F410" s="3"/>
    </row>
    <row r="411" spans="1:6" ht="15" customHeight="1">
      <c r="A411" t="s">
        <v>2129</v>
      </c>
      <c r="B411" t="s">
        <v>2130</v>
      </c>
      <c r="C411" s="710" t="s">
        <v>652</v>
      </c>
      <c r="D411" s="710" t="s">
        <v>31</v>
      </c>
      <c r="E411" s="710"/>
      <c r="F411" s="3"/>
    </row>
    <row r="412" spans="1:6" ht="15" customHeight="1">
      <c r="A412" t="s">
        <v>2131</v>
      </c>
      <c r="B412" t="s">
        <v>1153</v>
      </c>
      <c r="C412" s="710" t="s">
        <v>652</v>
      </c>
      <c r="D412" s="710" t="s">
        <v>33</v>
      </c>
      <c r="E412" s="710"/>
      <c r="F412" s="3"/>
    </row>
    <row r="413" spans="1:6" ht="15" customHeight="1">
      <c r="A413" t="s">
        <v>2132</v>
      </c>
      <c r="B413" t="s">
        <v>1146</v>
      </c>
      <c r="C413" s="710" t="s">
        <v>652</v>
      </c>
      <c r="D413" s="710" t="s">
        <v>49</v>
      </c>
      <c r="E413" s="710"/>
      <c r="F413" s="3"/>
    </row>
    <row r="414" spans="1:6" ht="15" customHeight="1">
      <c r="A414" t="s">
        <v>2133</v>
      </c>
      <c r="B414" t="s">
        <v>2134</v>
      </c>
      <c r="C414" s="710" t="s">
        <v>652</v>
      </c>
      <c r="D414" s="710" t="s">
        <v>49</v>
      </c>
      <c r="E414" s="710"/>
      <c r="F414" s="3"/>
    </row>
    <row r="415" spans="1:6" ht="15" customHeight="1">
      <c r="A415" t="s">
        <v>2135</v>
      </c>
      <c r="B415" t="s">
        <v>2136</v>
      </c>
      <c r="C415" s="710" t="s">
        <v>652</v>
      </c>
      <c r="D415" s="710" t="s">
        <v>37</v>
      </c>
      <c r="E415" s="710"/>
      <c r="F415" s="3"/>
    </row>
    <row r="416" spans="1:6" ht="15" customHeight="1">
      <c r="A416" t="s">
        <v>2137</v>
      </c>
      <c r="B416" t="s">
        <v>2138</v>
      </c>
      <c r="C416" s="710" t="s">
        <v>652</v>
      </c>
      <c r="D416" s="710" t="s">
        <v>37</v>
      </c>
      <c r="E416" s="710"/>
      <c r="F416" s="3"/>
    </row>
    <row r="417" spans="1:6" ht="15" customHeight="1">
      <c r="A417" t="s">
        <v>2139</v>
      </c>
      <c r="B417" t="s">
        <v>2140</v>
      </c>
      <c r="C417" s="710" t="s">
        <v>652</v>
      </c>
      <c r="D417" s="710" t="s">
        <v>37</v>
      </c>
      <c r="E417" s="710"/>
      <c r="F417" s="3"/>
    </row>
    <row r="418" spans="1:6" ht="15" customHeight="1">
      <c r="A418" t="s">
        <v>2141</v>
      </c>
      <c r="B418" t="s">
        <v>2142</v>
      </c>
      <c r="C418" s="710" t="s">
        <v>652</v>
      </c>
      <c r="D418" s="710" t="s">
        <v>37</v>
      </c>
      <c r="E418" s="710"/>
      <c r="F418" s="3"/>
    </row>
    <row r="419" spans="1:6" ht="15" customHeight="1">
      <c r="A419" t="s">
        <v>2143</v>
      </c>
      <c r="B419" t="s">
        <v>2144</v>
      </c>
      <c r="C419" s="710" t="s">
        <v>652</v>
      </c>
      <c r="D419" s="710" t="s">
        <v>37</v>
      </c>
      <c r="E419" s="710"/>
      <c r="F419" s="3"/>
    </row>
    <row r="420" spans="1:6" ht="15" customHeight="1">
      <c r="A420" t="s">
        <v>2145</v>
      </c>
      <c r="B420" t="s">
        <v>2146</v>
      </c>
      <c r="C420" s="710" t="s">
        <v>652</v>
      </c>
      <c r="D420" s="710" t="s">
        <v>39</v>
      </c>
      <c r="E420" s="710"/>
      <c r="F420" s="3"/>
    </row>
    <row r="421" spans="1:6" ht="15" customHeight="1">
      <c r="A421" t="s">
        <v>2147</v>
      </c>
      <c r="B421" t="s">
        <v>2148</v>
      </c>
      <c r="C421" s="710" t="s">
        <v>652</v>
      </c>
      <c r="D421" s="710" t="s">
        <v>53</v>
      </c>
      <c r="E421" s="710"/>
      <c r="F421" s="3"/>
    </row>
    <row r="422" spans="1:6" ht="15" customHeight="1">
      <c r="A422" t="s">
        <v>2149</v>
      </c>
      <c r="B422" t="s">
        <v>2150</v>
      </c>
      <c r="C422" s="710" t="s">
        <v>652</v>
      </c>
      <c r="D422" s="710" t="s">
        <v>49</v>
      </c>
      <c r="E422" s="710"/>
      <c r="F422" s="3"/>
    </row>
    <row r="423" spans="1:6" ht="15" customHeight="1">
      <c r="A423" t="s">
        <v>2151</v>
      </c>
      <c r="B423" t="s">
        <v>2152</v>
      </c>
      <c r="C423" s="710" t="s">
        <v>652</v>
      </c>
      <c r="D423" s="710" t="s">
        <v>53</v>
      </c>
      <c r="E423" s="710"/>
      <c r="F423" s="3"/>
    </row>
    <row r="424" spans="1:6" ht="15" customHeight="1">
      <c r="A424" t="s">
        <v>2153</v>
      </c>
      <c r="B424" t="s">
        <v>2154</v>
      </c>
      <c r="C424" s="710" t="s">
        <v>652</v>
      </c>
      <c r="D424" s="710" t="s">
        <v>53</v>
      </c>
      <c r="E424" s="710"/>
      <c r="F424" s="3"/>
    </row>
    <row r="425" spans="1:6" ht="15" customHeight="1">
      <c r="A425" t="s">
        <v>2155</v>
      </c>
      <c r="B425" t="s">
        <v>2156</v>
      </c>
      <c r="C425" s="710" t="s">
        <v>652</v>
      </c>
      <c r="D425" s="710" t="s">
        <v>53</v>
      </c>
      <c r="E425" s="710"/>
      <c r="F425" s="3"/>
    </row>
    <row r="426" spans="1:6" ht="15" customHeight="1">
      <c r="A426" t="s">
        <v>2157</v>
      </c>
      <c r="B426" t="s">
        <v>2158</v>
      </c>
      <c r="C426" s="710" t="s">
        <v>652</v>
      </c>
      <c r="D426" s="710" t="s">
        <v>53</v>
      </c>
      <c r="E426" s="710"/>
      <c r="F426" s="3"/>
    </row>
    <row r="427" spans="1:6" ht="15" customHeight="1">
      <c r="A427" t="s">
        <v>2159</v>
      </c>
      <c r="B427" t="s">
        <v>2160</v>
      </c>
      <c r="C427" s="710" t="s">
        <v>652</v>
      </c>
      <c r="D427" s="710" t="s">
        <v>39</v>
      </c>
      <c r="E427" s="710"/>
      <c r="F427" s="3"/>
    </row>
    <row r="428" spans="1:6" ht="15" customHeight="1">
      <c r="A428" t="s">
        <v>2161</v>
      </c>
      <c r="B428" t="s">
        <v>2162</v>
      </c>
      <c r="C428" s="710"/>
      <c r="D428" s="710"/>
      <c r="E428" s="710"/>
      <c r="F428" s="3"/>
    </row>
    <row r="429" spans="1:6" ht="15" customHeight="1">
      <c r="A429" t="s">
        <v>2163</v>
      </c>
      <c r="B429" t="s">
        <v>2164</v>
      </c>
      <c r="C429" s="710" t="s">
        <v>652</v>
      </c>
      <c r="D429" s="710" t="s">
        <v>53</v>
      </c>
      <c r="E429" s="710"/>
      <c r="F429" s="3"/>
    </row>
    <row r="430" spans="1:6" ht="15" customHeight="1">
      <c r="A430" t="s">
        <v>2165</v>
      </c>
      <c r="B430" t="s">
        <v>2166</v>
      </c>
      <c r="C430" s="710" t="s">
        <v>652</v>
      </c>
      <c r="D430" s="710" t="s">
        <v>53</v>
      </c>
      <c r="E430" s="710"/>
      <c r="F430" s="3"/>
    </row>
    <row r="431" spans="1:6" ht="15" customHeight="1">
      <c r="A431" t="s">
        <v>2167</v>
      </c>
      <c r="B431" t="s">
        <v>2168</v>
      </c>
      <c r="C431" s="710" t="s">
        <v>652</v>
      </c>
      <c r="D431" s="710" t="s">
        <v>53</v>
      </c>
      <c r="E431" s="710"/>
      <c r="F431" s="3"/>
    </row>
    <row r="432" spans="1:6" ht="15" customHeight="1">
      <c r="A432" t="s">
        <v>2169</v>
      </c>
      <c r="B432" t="s">
        <v>2170</v>
      </c>
      <c r="C432" s="710" t="s">
        <v>652</v>
      </c>
      <c r="D432" s="710" t="s">
        <v>53</v>
      </c>
      <c r="E432" s="710"/>
      <c r="F432" s="3"/>
    </row>
    <row r="433" spans="1:6" ht="15" customHeight="1">
      <c r="A433" t="s">
        <v>2171</v>
      </c>
      <c r="B433" t="s">
        <v>2172</v>
      </c>
      <c r="C433" s="710" t="s">
        <v>652</v>
      </c>
      <c r="D433" s="710" t="s">
        <v>53</v>
      </c>
      <c r="E433" s="710"/>
      <c r="F433" s="3"/>
    </row>
    <row r="434" spans="1:6" ht="15" customHeight="1">
      <c r="A434" t="s">
        <v>2173</v>
      </c>
      <c r="B434" t="s">
        <v>2174</v>
      </c>
      <c r="C434" s="710"/>
      <c r="D434" s="710"/>
      <c r="E434" s="710"/>
      <c r="F434" s="3"/>
    </row>
    <row r="435" spans="1:6" ht="15" customHeight="1">
      <c r="A435" t="s">
        <v>2175</v>
      </c>
      <c r="B435" t="s">
        <v>2176</v>
      </c>
      <c r="C435" s="710"/>
      <c r="D435" s="710"/>
      <c r="E435" s="710"/>
      <c r="F435" s="3"/>
    </row>
    <row r="436" spans="1:6" ht="15" customHeight="1">
      <c r="A436" t="s">
        <v>2177</v>
      </c>
      <c r="B436" t="s">
        <v>2178</v>
      </c>
      <c r="C436" s="710" t="s">
        <v>652</v>
      </c>
      <c r="D436" s="710" t="s">
        <v>53</v>
      </c>
      <c r="E436" s="710"/>
      <c r="F436" s="3"/>
    </row>
    <row r="437" spans="1:6" ht="15" customHeight="1">
      <c r="A437" t="s">
        <v>2181</v>
      </c>
      <c r="B437" t="s">
        <v>2182</v>
      </c>
      <c r="C437" s="710" t="s">
        <v>652</v>
      </c>
      <c r="D437" s="710" t="s">
        <v>61</v>
      </c>
      <c r="E437" s="710"/>
      <c r="F437" s="3"/>
    </row>
    <row r="438" spans="1:6" ht="15" customHeight="1">
      <c r="A438" t="s">
        <v>2183</v>
      </c>
      <c r="B438" t="s">
        <v>2184</v>
      </c>
      <c r="C438" s="710" t="s">
        <v>652</v>
      </c>
      <c r="D438" s="710" t="s">
        <v>22</v>
      </c>
      <c r="E438" s="710"/>
      <c r="F438" s="3"/>
    </row>
    <row r="439" spans="1:6" ht="15" customHeight="1">
      <c r="A439" t="s">
        <v>2185</v>
      </c>
      <c r="B439" t="s">
        <v>2186</v>
      </c>
      <c r="C439" s="710" t="s">
        <v>652</v>
      </c>
      <c r="D439" s="710" t="s">
        <v>56</v>
      </c>
      <c r="E439" s="710"/>
      <c r="F439" s="3"/>
    </row>
    <row r="440" spans="1:6" ht="15" customHeight="1">
      <c r="A440" t="s">
        <v>2187</v>
      </c>
      <c r="B440" t="s">
        <v>2188</v>
      </c>
      <c r="C440" s="710"/>
      <c r="D440" s="710"/>
      <c r="E440" s="710"/>
      <c r="F440" s="3"/>
    </row>
    <row r="441" spans="1:6" ht="15" customHeight="1">
      <c r="A441" t="s">
        <v>2189</v>
      </c>
      <c r="B441" t="s">
        <v>2190</v>
      </c>
      <c r="C441" s="710" t="s">
        <v>652</v>
      </c>
      <c r="D441" s="710" t="s">
        <v>70</v>
      </c>
      <c r="E441" s="710"/>
      <c r="F441" s="3"/>
    </row>
    <row r="442" spans="1:6" ht="15" customHeight="1">
      <c r="A442" t="s">
        <v>2191</v>
      </c>
      <c r="B442" t="s">
        <v>2192</v>
      </c>
      <c r="C442" s="710" t="s">
        <v>652</v>
      </c>
      <c r="D442" s="710" t="s">
        <v>70</v>
      </c>
      <c r="E442" s="710"/>
      <c r="F442" s="3"/>
    </row>
    <row r="443" spans="1:6" ht="15" customHeight="1">
      <c r="A443" t="s">
        <v>2193</v>
      </c>
      <c r="B443" t="s">
        <v>2194</v>
      </c>
      <c r="C443" s="710" t="s">
        <v>652</v>
      </c>
      <c r="D443" s="710" t="s">
        <v>70</v>
      </c>
      <c r="E443" s="710"/>
      <c r="F443" s="3"/>
    </row>
    <row r="444" spans="1:6" ht="15" customHeight="1">
      <c r="A444" t="s">
        <v>2195</v>
      </c>
      <c r="B444" t="s">
        <v>2196</v>
      </c>
      <c r="C444" s="710" t="s">
        <v>652</v>
      </c>
      <c r="D444" s="710" t="s">
        <v>71</v>
      </c>
      <c r="E444" s="710"/>
      <c r="F444" s="3"/>
    </row>
    <row r="445" spans="1:6" ht="15" customHeight="1">
      <c r="A445" t="s">
        <v>2197</v>
      </c>
      <c r="B445" t="s">
        <v>2198</v>
      </c>
      <c r="C445" s="710" t="s">
        <v>652</v>
      </c>
      <c r="D445" s="710" t="s">
        <v>70</v>
      </c>
      <c r="E445" s="710"/>
      <c r="F445" s="3"/>
    </row>
    <row r="446" spans="1:6" ht="15" customHeight="1">
      <c r="A446" t="s">
        <v>2199</v>
      </c>
      <c r="B446" t="s">
        <v>2200</v>
      </c>
      <c r="C446" s="710" t="s">
        <v>652</v>
      </c>
      <c r="D446" s="710" t="s">
        <v>66</v>
      </c>
      <c r="E446" s="710"/>
      <c r="F446" s="3"/>
    </row>
    <row r="447" spans="1:6" ht="15" customHeight="1">
      <c r="A447" t="s">
        <v>2201</v>
      </c>
      <c r="B447" t="s">
        <v>2202</v>
      </c>
      <c r="C447" s="710" t="s">
        <v>652</v>
      </c>
      <c r="D447" s="710" t="s">
        <v>72</v>
      </c>
      <c r="E447" s="710"/>
      <c r="F447" s="3"/>
    </row>
    <row r="448" spans="1:6" ht="15" customHeight="1">
      <c r="A448" t="s">
        <v>2203</v>
      </c>
      <c r="B448" t="s">
        <v>2204</v>
      </c>
      <c r="C448" s="710" t="s">
        <v>652</v>
      </c>
      <c r="D448" s="710" t="s">
        <v>75</v>
      </c>
      <c r="E448" s="710"/>
      <c r="F448" s="3"/>
    </row>
    <row r="449" spans="1:6" ht="15" customHeight="1">
      <c r="A449" t="s">
        <v>2205</v>
      </c>
      <c r="B449" t="s">
        <v>2206</v>
      </c>
      <c r="C449" s="710"/>
      <c r="D449" s="710"/>
      <c r="E449" s="710"/>
      <c r="F449" s="3"/>
    </row>
    <row r="450" spans="1:6" ht="15" customHeight="1">
      <c r="A450" t="s">
        <v>2207</v>
      </c>
      <c r="B450" t="s">
        <v>2208</v>
      </c>
      <c r="C450" s="710" t="s">
        <v>652</v>
      </c>
      <c r="D450" s="710" t="s">
        <v>80</v>
      </c>
      <c r="E450" s="710"/>
      <c r="F450" s="3"/>
    </row>
    <row r="451" spans="1:6" ht="15" customHeight="1">
      <c r="A451" t="s">
        <v>2209</v>
      </c>
      <c r="B451" t="s">
        <v>2210</v>
      </c>
      <c r="C451" s="710" t="s">
        <v>652</v>
      </c>
      <c r="D451" s="710" t="s">
        <v>80</v>
      </c>
      <c r="E451" s="710"/>
      <c r="F451" s="3"/>
    </row>
    <row r="452" spans="1:6" ht="15" customHeight="1">
      <c r="A452" t="s">
        <v>2211</v>
      </c>
      <c r="B452" t="s">
        <v>2212</v>
      </c>
      <c r="C452" s="710" t="s">
        <v>652</v>
      </c>
      <c r="D452" s="710" t="s">
        <v>80</v>
      </c>
      <c r="E452" s="710"/>
      <c r="F452" s="3"/>
    </row>
    <row r="453" spans="1:6" ht="15" customHeight="1">
      <c r="A453" t="s">
        <v>2213</v>
      </c>
      <c r="B453" t="s">
        <v>2214</v>
      </c>
      <c r="C453" s="710" t="s">
        <v>652</v>
      </c>
      <c r="D453" s="710" t="s">
        <v>80</v>
      </c>
      <c r="E453" s="710"/>
      <c r="F453" s="3"/>
    </row>
    <row r="454" spans="1:6" ht="15" customHeight="1">
      <c r="A454" t="s">
        <v>2215</v>
      </c>
      <c r="B454" t="s">
        <v>2216</v>
      </c>
      <c r="C454" s="710" t="s">
        <v>652</v>
      </c>
      <c r="D454" s="710" t="s">
        <v>80</v>
      </c>
      <c r="E454" s="710"/>
      <c r="F454" s="3"/>
    </row>
    <row r="455" spans="1:6" ht="15" customHeight="1">
      <c r="A455" t="s">
        <v>2217</v>
      </c>
      <c r="B455" t="s">
        <v>2218</v>
      </c>
      <c r="C455" s="710" t="s">
        <v>652</v>
      </c>
      <c r="D455" s="710" t="s">
        <v>80</v>
      </c>
      <c r="E455" s="710"/>
      <c r="F455" s="3"/>
    </row>
    <row r="456" spans="1:6" ht="15" customHeight="1">
      <c r="A456" t="s">
        <v>2219</v>
      </c>
      <c r="B456" t="s">
        <v>2220</v>
      </c>
      <c r="C456" s="710" t="s">
        <v>652</v>
      </c>
      <c r="D456" s="710" t="s">
        <v>80</v>
      </c>
      <c r="E456" s="710"/>
      <c r="F456" s="3"/>
    </row>
    <row r="457" spans="1:6" ht="15" customHeight="1">
      <c r="A457" t="s">
        <v>2221</v>
      </c>
      <c r="B457" t="s">
        <v>2222</v>
      </c>
      <c r="C457" s="710" t="s">
        <v>652</v>
      </c>
      <c r="D457" s="710" t="s">
        <v>82</v>
      </c>
      <c r="E457" s="710"/>
      <c r="F457" s="3"/>
    </row>
    <row r="458" spans="1:6" ht="15" customHeight="1">
      <c r="A458" t="s">
        <v>2223</v>
      </c>
      <c r="B458" t="s">
        <v>2224</v>
      </c>
      <c r="C458" s="710"/>
      <c r="D458" s="710"/>
      <c r="E458" s="710"/>
      <c r="F458" s="3"/>
    </row>
    <row r="459" spans="1:6" ht="15" customHeight="1">
      <c r="A459" t="s">
        <v>2227</v>
      </c>
      <c r="B459" t="s">
        <v>2228</v>
      </c>
      <c r="C459" s="710" t="s">
        <v>88</v>
      </c>
      <c r="D459" s="710" t="s">
        <v>93</v>
      </c>
      <c r="E459" s="710" t="s">
        <v>3125</v>
      </c>
      <c r="F459" s="3"/>
    </row>
    <row r="460" spans="1:6" ht="15" customHeight="1">
      <c r="A460" t="s">
        <v>2229</v>
      </c>
      <c r="B460" t="s">
        <v>2230</v>
      </c>
      <c r="C460" s="710" t="s">
        <v>88</v>
      </c>
      <c r="D460" s="710" t="s">
        <v>93</v>
      </c>
      <c r="E460" s="710" t="s">
        <v>3125</v>
      </c>
      <c r="F460" s="3"/>
    </row>
    <row r="461" spans="1:6" ht="15" customHeight="1">
      <c r="A461" t="s">
        <v>2231</v>
      </c>
      <c r="B461" t="s">
        <v>2232</v>
      </c>
      <c r="C461" s="710" t="s">
        <v>88</v>
      </c>
      <c r="D461" s="710" t="s">
        <v>93</v>
      </c>
      <c r="E461" s="710" t="s">
        <v>3125</v>
      </c>
      <c r="F461" s="3"/>
    </row>
    <row r="462" spans="1:6" ht="15" customHeight="1">
      <c r="A462" t="s">
        <v>2233</v>
      </c>
      <c r="B462" t="s">
        <v>2234</v>
      </c>
      <c r="C462" s="710" t="s">
        <v>88</v>
      </c>
      <c r="D462" s="710" t="s">
        <v>93</v>
      </c>
      <c r="E462" s="710" t="s">
        <v>3125</v>
      </c>
      <c r="F462" s="3"/>
    </row>
    <row r="463" spans="1:6" ht="15" customHeight="1">
      <c r="A463" t="s">
        <v>2241</v>
      </c>
      <c r="B463" t="s">
        <v>2242</v>
      </c>
      <c r="C463" s="710" t="s">
        <v>88</v>
      </c>
      <c r="D463" s="710" t="s">
        <v>93</v>
      </c>
      <c r="E463" s="710" t="s">
        <v>3125</v>
      </c>
      <c r="F463" s="3"/>
    </row>
    <row r="464" spans="1:6" ht="15" customHeight="1">
      <c r="A464" t="s">
        <v>2243</v>
      </c>
      <c r="B464" t="s">
        <v>2244</v>
      </c>
      <c r="C464" s="710" t="s">
        <v>88</v>
      </c>
      <c r="D464" s="710" t="s">
        <v>93</v>
      </c>
      <c r="E464" s="710" t="s">
        <v>3125</v>
      </c>
      <c r="F464" s="3"/>
    </row>
    <row r="465" spans="1:6" ht="15" customHeight="1">
      <c r="A465" t="s">
        <v>2247</v>
      </c>
      <c r="B465" t="s">
        <v>2248</v>
      </c>
      <c r="C465" s="710" t="s">
        <v>88</v>
      </c>
      <c r="D465" s="710" t="s">
        <v>93</v>
      </c>
      <c r="E465" s="710" t="s">
        <v>3125</v>
      </c>
      <c r="F465" s="3"/>
    </row>
    <row r="466" spans="1:6" ht="15" customHeight="1">
      <c r="A466" t="s">
        <v>2249</v>
      </c>
      <c r="B466" t="s">
        <v>2250</v>
      </c>
      <c r="C466" s="710" t="s">
        <v>88</v>
      </c>
      <c r="D466" s="710" t="s">
        <v>93</v>
      </c>
      <c r="E466" s="710" t="s">
        <v>3125</v>
      </c>
      <c r="F466" s="3"/>
    </row>
    <row r="467" spans="1:6" ht="15" customHeight="1">
      <c r="A467" t="s">
        <v>2255</v>
      </c>
      <c r="B467" t="s">
        <v>2256</v>
      </c>
      <c r="C467" s="710" t="s">
        <v>88</v>
      </c>
      <c r="D467" s="710" t="s">
        <v>3127</v>
      </c>
      <c r="E467" s="710" t="s">
        <v>3125</v>
      </c>
      <c r="F467" s="3"/>
    </row>
    <row r="468" spans="1:6" ht="15" customHeight="1">
      <c r="A468" t="s">
        <v>2263</v>
      </c>
      <c r="B468" t="s">
        <v>2264</v>
      </c>
      <c r="C468" s="710" t="s">
        <v>88</v>
      </c>
      <c r="D468" s="710" t="s">
        <v>93</v>
      </c>
      <c r="E468" s="710" t="s">
        <v>3125</v>
      </c>
      <c r="F468" s="3"/>
    </row>
    <row r="469" spans="1:6" ht="15" customHeight="1">
      <c r="A469" t="s">
        <v>2267</v>
      </c>
      <c r="B469" t="s">
        <v>2268</v>
      </c>
      <c r="C469" s="710" t="s">
        <v>88</v>
      </c>
      <c r="D469" s="710" t="s">
        <v>93</v>
      </c>
      <c r="E469" s="710" t="s">
        <v>3125</v>
      </c>
      <c r="F469" s="3"/>
    </row>
    <row r="470" spans="1:6" ht="15" customHeight="1">
      <c r="A470" t="s">
        <v>2269</v>
      </c>
      <c r="B470" t="s">
        <v>2270</v>
      </c>
      <c r="C470" s="710" t="s">
        <v>88</v>
      </c>
      <c r="D470" s="710" t="s">
        <v>93</v>
      </c>
      <c r="E470" s="710" t="s">
        <v>3125</v>
      </c>
      <c r="F470" s="3"/>
    </row>
    <row r="471" spans="1:6" ht="15" customHeight="1">
      <c r="A471" t="s">
        <v>2271</v>
      </c>
      <c r="B471" s="706" t="s">
        <v>2272</v>
      </c>
      <c r="C471" s="710"/>
      <c r="D471" s="710"/>
      <c r="E471" s="710"/>
      <c r="F471" s="3"/>
    </row>
    <row r="472" spans="1:6" ht="15" customHeight="1">
      <c r="A472" s="937" t="s">
        <v>2277</v>
      </c>
      <c r="B472" s="937" t="s">
        <v>2278</v>
      </c>
      <c r="C472" s="940"/>
      <c r="D472" s="940"/>
      <c r="E472" s="940"/>
      <c r="F472" s="3"/>
    </row>
    <row r="473" spans="1:6" ht="15" customHeight="1">
      <c r="A473" t="s">
        <v>2291</v>
      </c>
      <c r="B473" t="s">
        <v>2292</v>
      </c>
      <c r="C473" s="710" t="s">
        <v>88</v>
      </c>
      <c r="D473" s="710" t="s">
        <v>94</v>
      </c>
      <c r="E473" s="710" t="s">
        <v>3125</v>
      </c>
      <c r="F473" s="3"/>
    </row>
    <row r="474" spans="1:6" ht="15" customHeight="1">
      <c r="A474" t="s">
        <v>2293</v>
      </c>
      <c r="B474" t="s">
        <v>2294</v>
      </c>
      <c r="C474" s="710" t="s">
        <v>88</v>
      </c>
      <c r="D474" s="710" t="s">
        <v>3127</v>
      </c>
      <c r="E474" s="710" t="s">
        <v>3125</v>
      </c>
      <c r="F474" s="3"/>
    </row>
    <row r="475" spans="1:6" ht="15" customHeight="1">
      <c r="A475" t="s">
        <v>2297</v>
      </c>
      <c r="B475" t="s">
        <v>2298</v>
      </c>
      <c r="C475" s="710" t="s">
        <v>88</v>
      </c>
      <c r="D475" s="710" t="s">
        <v>94</v>
      </c>
      <c r="E475" s="710" t="s">
        <v>3125</v>
      </c>
      <c r="F475" s="3"/>
    </row>
    <row r="476" spans="1:6" ht="15" customHeight="1">
      <c r="A476" s="1048" t="s">
        <v>2299</v>
      </c>
      <c r="B476" s="1048" t="s">
        <v>2300</v>
      </c>
      <c r="C476" s="1049" t="s">
        <v>88</v>
      </c>
      <c r="D476" s="1049" t="s">
        <v>3127</v>
      </c>
      <c r="E476" s="1049" t="s">
        <v>3125</v>
      </c>
      <c r="F476" s="3"/>
    </row>
    <row r="477" spans="1:6" ht="15" customHeight="1">
      <c r="A477" t="s">
        <v>2305</v>
      </c>
      <c r="B477" t="s">
        <v>2306</v>
      </c>
      <c r="C477" s="710" t="s">
        <v>88</v>
      </c>
      <c r="D477" s="710" t="s">
        <v>94</v>
      </c>
      <c r="E477" s="710" t="s">
        <v>3125</v>
      </c>
      <c r="F477" s="3"/>
    </row>
    <row r="478" spans="1:6" ht="15" customHeight="1">
      <c r="A478" t="s">
        <v>2307</v>
      </c>
      <c r="B478" t="s">
        <v>2308</v>
      </c>
      <c r="C478" s="710" t="s">
        <v>88</v>
      </c>
      <c r="D478" s="710" t="s">
        <v>94</v>
      </c>
      <c r="E478" s="710" t="s">
        <v>3125</v>
      </c>
      <c r="F478" s="3"/>
    </row>
    <row r="479" spans="1:6" ht="15" customHeight="1">
      <c r="A479" t="s">
        <v>2309</v>
      </c>
      <c r="B479" t="s">
        <v>2310</v>
      </c>
      <c r="C479" s="710" t="s">
        <v>88</v>
      </c>
      <c r="D479" s="710" t="s">
        <v>94</v>
      </c>
      <c r="E479" s="710" t="s">
        <v>3125</v>
      </c>
      <c r="F479" s="3"/>
    </row>
    <row r="480" spans="1:6" ht="15" customHeight="1">
      <c r="A480" t="s">
        <v>2311</v>
      </c>
      <c r="B480" t="s">
        <v>2312</v>
      </c>
      <c r="C480" s="710" t="s">
        <v>88</v>
      </c>
      <c r="D480" s="710" t="s">
        <v>94</v>
      </c>
      <c r="E480" s="710" t="s">
        <v>3125</v>
      </c>
      <c r="F480" s="3"/>
    </row>
    <row r="481" spans="1:6" ht="15" customHeight="1">
      <c r="A481" t="s">
        <v>2315</v>
      </c>
      <c r="B481" t="s">
        <v>2316</v>
      </c>
      <c r="C481" s="710" t="s">
        <v>88</v>
      </c>
      <c r="D481" s="710" t="s">
        <v>94</v>
      </c>
      <c r="E481" s="710" t="s">
        <v>3125</v>
      </c>
      <c r="F481" s="3"/>
    </row>
    <row r="482" spans="1:6" ht="15" customHeight="1">
      <c r="A482" t="s">
        <v>2317</v>
      </c>
      <c r="B482" t="s">
        <v>2318</v>
      </c>
      <c r="C482" s="710" t="s">
        <v>88</v>
      </c>
      <c r="D482" s="710" t="s">
        <v>94</v>
      </c>
      <c r="E482" s="710" t="s">
        <v>3125</v>
      </c>
      <c r="F482" s="3"/>
    </row>
    <row r="483" spans="1:6" ht="15" customHeight="1">
      <c r="A483" t="s">
        <v>2319</v>
      </c>
      <c r="B483" t="s">
        <v>2320</v>
      </c>
      <c r="C483" s="710" t="s">
        <v>88</v>
      </c>
      <c r="D483" s="710" t="s">
        <v>94</v>
      </c>
      <c r="E483" s="710" t="s">
        <v>3125</v>
      </c>
      <c r="F483" s="3"/>
    </row>
    <row r="484" spans="1:6" ht="15" customHeight="1">
      <c r="A484" t="s">
        <v>2323</v>
      </c>
      <c r="B484" t="s">
        <v>2324</v>
      </c>
      <c r="C484" s="710" t="s">
        <v>88</v>
      </c>
      <c r="D484" s="710" t="s">
        <v>94</v>
      </c>
      <c r="E484" s="710" t="s">
        <v>3125</v>
      </c>
      <c r="F484" s="3"/>
    </row>
    <row r="485" spans="1:6" ht="15" customHeight="1">
      <c r="A485" t="s">
        <v>2325</v>
      </c>
      <c r="B485" t="s">
        <v>2326</v>
      </c>
      <c r="C485" s="710" t="s">
        <v>88</v>
      </c>
      <c r="D485" s="710" t="s">
        <v>94</v>
      </c>
      <c r="E485" s="710" t="s">
        <v>3125</v>
      </c>
      <c r="F485" s="3"/>
    </row>
    <row r="486" spans="1:6" ht="15" customHeight="1">
      <c r="A486" t="s">
        <v>2327</v>
      </c>
      <c r="B486" t="s">
        <v>2328</v>
      </c>
      <c r="C486" s="710" t="s">
        <v>88</v>
      </c>
      <c r="D486" s="710" t="s">
        <v>94</v>
      </c>
      <c r="E486" s="710" t="s">
        <v>3125</v>
      </c>
      <c r="F486" s="3"/>
    </row>
    <row r="487" spans="1:6" ht="15" customHeight="1">
      <c r="A487" t="s">
        <v>2329</v>
      </c>
      <c r="B487" t="s">
        <v>2330</v>
      </c>
      <c r="C487" s="710" t="s">
        <v>88</v>
      </c>
      <c r="D487" s="710" t="s">
        <v>3127</v>
      </c>
      <c r="E487" s="710" t="s">
        <v>3125</v>
      </c>
      <c r="F487" s="3"/>
    </row>
    <row r="488" spans="1:6" ht="15" customHeight="1">
      <c r="A488" t="s">
        <v>2331</v>
      </c>
      <c r="B488" t="s">
        <v>2332</v>
      </c>
      <c r="C488" s="710" t="s">
        <v>88</v>
      </c>
      <c r="D488" s="710" t="s">
        <v>94</v>
      </c>
      <c r="E488" s="710" t="s">
        <v>3125</v>
      </c>
      <c r="F488" s="3"/>
    </row>
    <row r="489" spans="1:6" ht="15" customHeight="1">
      <c r="A489" t="s">
        <v>2335</v>
      </c>
      <c r="B489" t="s">
        <v>2336</v>
      </c>
      <c r="C489" s="710" t="s">
        <v>88</v>
      </c>
      <c r="D489" s="710" t="s">
        <v>94</v>
      </c>
      <c r="E489" s="710" t="s">
        <v>3125</v>
      </c>
      <c r="F489" s="3"/>
    </row>
    <row r="490" spans="1:6" ht="15" customHeight="1">
      <c r="A490" t="s">
        <v>2337</v>
      </c>
      <c r="B490" t="s">
        <v>2338</v>
      </c>
      <c r="C490" s="710" t="s">
        <v>88</v>
      </c>
      <c r="D490" s="710" t="s">
        <v>94</v>
      </c>
      <c r="E490" s="710" t="s">
        <v>3125</v>
      </c>
      <c r="F490" s="3"/>
    </row>
    <row r="491" spans="1:6" ht="15" customHeight="1">
      <c r="A491" t="s">
        <v>2339</v>
      </c>
      <c r="B491" t="s">
        <v>2340</v>
      </c>
      <c r="C491" s="710" t="s">
        <v>88</v>
      </c>
      <c r="D491" s="710" t="s">
        <v>3127</v>
      </c>
      <c r="E491" s="710" t="s">
        <v>3125</v>
      </c>
      <c r="F491" s="3"/>
    </row>
    <row r="492" spans="1:6" ht="15" customHeight="1">
      <c r="A492" t="s">
        <v>2343</v>
      </c>
      <c r="B492" t="s">
        <v>2344</v>
      </c>
      <c r="C492" s="710" t="s">
        <v>88</v>
      </c>
      <c r="D492" s="710" t="s">
        <v>94</v>
      </c>
      <c r="E492" s="710" t="s">
        <v>3125</v>
      </c>
      <c r="F492" s="3"/>
    </row>
    <row r="493" spans="1:6" ht="15" customHeight="1">
      <c r="A493" t="s">
        <v>2345</v>
      </c>
      <c r="B493" t="s">
        <v>2346</v>
      </c>
      <c r="C493" s="710" t="s">
        <v>88</v>
      </c>
      <c r="D493" s="710" t="s">
        <v>94</v>
      </c>
      <c r="E493" s="710" t="s">
        <v>3125</v>
      </c>
      <c r="F493" s="3"/>
    </row>
    <row r="494" spans="1:6" ht="15" customHeight="1">
      <c r="A494" t="s">
        <v>2347</v>
      </c>
      <c r="B494" t="s">
        <v>2348</v>
      </c>
      <c r="C494" s="710" t="s">
        <v>88</v>
      </c>
      <c r="D494" s="710" t="s">
        <v>94</v>
      </c>
      <c r="E494" s="710" t="s">
        <v>3125</v>
      </c>
      <c r="F494" s="3"/>
    </row>
    <row r="495" spans="1:6" ht="15" customHeight="1">
      <c r="A495" t="s">
        <v>2349</v>
      </c>
      <c r="B495" t="s">
        <v>2350</v>
      </c>
      <c r="C495" s="710" t="s">
        <v>88</v>
      </c>
      <c r="D495" s="710" t="s">
        <v>94</v>
      </c>
      <c r="E495" s="710" t="s">
        <v>3125</v>
      </c>
      <c r="F495" s="3"/>
    </row>
    <row r="496" spans="1:6" ht="15" customHeight="1">
      <c r="A496" t="s">
        <v>2351</v>
      </c>
      <c r="B496" t="s">
        <v>2352</v>
      </c>
      <c r="C496" s="710" t="s">
        <v>88</v>
      </c>
      <c r="D496" s="710" t="s">
        <v>3127</v>
      </c>
      <c r="E496" s="710" t="s">
        <v>3125</v>
      </c>
      <c r="F496" s="3"/>
    </row>
    <row r="497" spans="1:6" ht="15" customHeight="1">
      <c r="A497" t="s">
        <v>2355</v>
      </c>
      <c r="B497" t="s">
        <v>2356</v>
      </c>
      <c r="C497" s="710" t="s">
        <v>88</v>
      </c>
      <c r="D497" s="710" t="s">
        <v>94</v>
      </c>
      <c r="E497" s="710" t="s">
        <v>3125</v>
      </c>
      <c r="F497" s="3"/>
    </row>
    <row r="498" spans="1:6" ht="15" customHeight="1">
      <c r="A498" t="s">
        <v>2357</v>
      </c>
      <c r="B498" t="s">
        <v>2358</v>
      </c>
      <c r="C498" s="710" t="s">
        <v>88</v>
      </c>
      <c r="D498" s="710" t="s">
        <v>3127</v>
      </c>
      <c r="E498" s="710" t="s">
        <v>3125</v>
      </c>
      <c r="F498" s="3"/>
    </row>
    <row r="499" spans="1:6" ht="15" customHeight="1">
      <c r="A499" t="s">
        <v>2361</v>
      </c>
      <c r="B499" t="s">
        <v>2362</v>
      </c>
      <c r="C499" s="710" t="s">
        <v>88</v>
      </c>
      <c r="D499" s="710" t="s">
        <v>94</v>
      </c>
      <c r="E499" s="710" t="s">
        <v>3125</v>
      </c>
      <c r="F499" s="3"/>
    </row>
    <row r="500" spans="1:6" ht="15" customHeight="1">
      <c r="A500" t="s">
        <v>2363</v>
      </c>
      <c r="B500" t="s">
        <v>2364</v>
      </c>
      <c r="C500" s="710" t="s">
        <v>88</v>
      </c>
      <c r="D500" s="710" t="s">
        <v>3127</v>
      </c>
      <c r="E500" s="710" t="s">
        <v>3125</v>
      </c>
      <c r="F500" s="3"/>
    </row>
    <row r="501" spans="1:6" ht="15" customHeight="1">
      <c r="A501" t="s">
        <v>2367</v>
      </c>
      <c r="B501" t="s">
        <v>2368</v>
      </c>
      <c r="C501" s="710" t="s">
        <v>88</v>
      </c>
      <c r="D501" s="710" t="s">
        <v>94</v>
      </c>
      <c r="E501" s="710" t="s">
        <v>3125</v>
      </c>
      <c r="F501" s="3"/>
    </row>
    <row r="502" spans="1:6" ht="15" customHeight="1">
      <c r="A502" t="s">
        <v>2369</v>
      </c>
      <c r="B502" t="s">
        <v>2370</v>
      </c>
      <c r="C502" s="710" t="s">
        <v>88</v>
      </c>
      <c r="D502" s="710" t="s">
        <v>94</v>
      </c>
      <c r="E502" s="710" t="s">
        <v>3125</v>
      </c>
      <c r="F502" s="3"/>
    </row>
    <row r="503" spans="1:6" ht="15" customHeight="1">
      <c r="A503" t="s">
        <v>2375</v>
      </c>
      <c r="B503" t="s">
        <v>2376</v>
      </c>
      <c r="C503" s="710" t="s">
        <v>88</v>
      </c>
      <c r="D503" s="710" t="s">
        <v>99</v>
      </c>
      <c r="E503" s="710" t="s">
        <v>3125</v>
      </c>
      <c r="F503" s="3"/>
    </row>
    <row r="504" spans="1:6" ht="15" customHeight="1">
      <c r="A504" t="s">
        <v>2377</v>
      </c>
      <c r="B504" t="s">
        <v>2378</v>
      </c>
      <c r="C504" s="710" t="s">
        <v>88</v>
      </c>
      <c r="D504" s="710" t="s">
        <v>99</v>
      </c>
      <c r="E504" s="710" t="s">
        <v>3125</v>
      </c>
      <c r="F504" s="3"/>
    </row>
    <row r="505" spans="1:6" ht="15" customHeight="1">
      <c r="A505" t="s">
        <v>2379</v>
      </c>
      <c r="B505" t="s">
        <v>2380</v>
      </c>
      <c r="C505" s="710" t="s">
        <v>88</v>
      </c>
      <c r="D505" s="710" t="s">
        <v>102</v>
      </c>
      <c r="E505" s="710" t="s">
        <v>3125</v>
      </c>
      <c r="F505" s="3"/>
    </row>
    <row r="506" spans="1:6" ht="15" customHeight="1">
      <c r="A506" t="s">
        <v>2381</v>
      </c>
      <c r="B506" t="s">
        <v>2382</v>
      </c>
      <c r="C506" s="710" t="s">
        <v>88</v>
      </c>
      <c r="D506" s="710" t="s">
        <v>102</v>
      </c>
      <c r="E506" s="710" t="s">
        <v>3125</v>
      </c>
      <c r="F506" s="3"/>
    </row>
    <row r="507" spans="1:6" ht="15" customHeight="1">
      <c r="A507" t="s">
        <v>2383</v>
      </c>
      <c r="B507" t="s">
        <v>2384</v>
      </c>
      <c r="C507" s="710" t="s">
        <v>88</v>
      </c>
      <c r="D507" s="710" t="s">
        <v>103</v>
      </c>
      <c r="E507" s="710" t="s">
        <v>3125</v>
      </c>
      <c r="F507" s="3"/>
    </row>
    <row r="508" spans="1:6" ht="15" customHeight="1">
      <c r="A508" t="s">
        <v>2385</v>
      </c>
      <c r="B508" t="s">
        <v>2386</v>
      </c>
      <c r="C508" s="710" t="s">
        <v>88</v>
      </c>
      <c r="D508" s="710" t="s">
        <v>103</v>
      </c>
      <c r="E508" s="710" t="s">
        <v>3125</v>
      </c>
      <c r="F508" s="3"/>
    </row>
    <row r="509" spans="1:6" ht="15" customHeight="1">
      <c r="A509" t="s">
        <v>2387</v>
      </c>
      <c r="B509" t="s">
        <v>2388</v>
      </c>
      <c r="C509" s="710" t="s">
        <v>88</v>
      </c>
      <c r="D509" s="710" t="s">
        <v>102</v>
      </c>
      <c r="E509" s="710" t="s">
        <v>3125</v>
      </c>
      <c r="F509" s="3"/>
    </row>
    <row r="510" spans="1:6" ht="15" customHeight="1">
      <c r="A510" t="s">
        <v>2389</v>
      </c>
      <c r="B510" t="s">
        <v>2390</v>
      </c>
      <c r="C510" s="710" t="s">
        <v>88</v>
      </c>
      <c r="D510" s="710" t="s">
        <v>103</v>
      </c>
      <c r="E510" s="710" t="s">
        <v>3125</v>
      </c>
      <c r="F510" s="3"/>
    </row>
    <row r="511" spans="1:6" ht="15" customHeight="1">
      <c r="A511" t="s">
        <v>2391</v>
      </c>
      <c r="B511" t="s">
        <v>2392</v>
      </c>
      <c r="C511" s="710" t="s">
        <v>148</v>
      </c>
      <c r="D511" s="710" t="s">
        <v>149</v>
      </c>
      <c r="E511" s="710" t="s">
        <v>3125</v>
      </c>
      <c r="F511" s="3"/>
    </row>
    <row r="512" spans="1:6" ht="15" customHeight="1">
      <c r="A512" t="s">
        <v>2393</v>
      </c>
      <c r="B512" t="s">
        <v>2394</v>
      </c>
      <c r="C512" s="710" t="s">
        <v>148</v>
      </c>
      <c r="D512" s="710" t="s">
        <v>150</v>
      </c>
      <c r="E512" s="710" t="s">
        <v>3125</v>
      </c>
      <c r="F512" s="3"/>
    </row>
    <row r="513" spans="1:6" ht="15" customHeight="1">
      <c r="A513" t="s">
        <v>2397</v>
      </c>
      <c r="B513" t="s">
        <v>2398</v>
      </c>
      <c r="C513" s="710"/>
      <c r="D513" s="710"/>
      <c r="E513" s="710"/>
      <c r="F513" s="3"/>
    </row>
    <row r="514" spans="1:6" ht="15" customHeight="1">
      <c r="A514" t="s">
        <v>2399</v>
      </c>
      <c r="B514" t="s">
        <v>2400</v>
      </c>
      <c r="C514" s="710"/>
      <c r="D514" s="710"/>
      <c r="E514" s="710"/>
      <c r="F514" s="3"/>
    </row>
    <row r="515" spans="1:6" ht="15" customHeight="1">
      <c r="A515" t="s">
        <v>2401</v>
      </c>
      <c r="B515" t="s">
        <v>2402</v>
      </c>
      <c r="C515" s="710"/>
      <c r="D515" s="710"/>
      <c r="E515" s="710"/>
      <c r="F515" s="3"/>
    </row>
    <row r="516" spans="1:6" ht="15" customHeight="1">
      <c r="A516" t="s">
        <v>2403</v>
      </c>
      <c r="B516" t="s">
        <v>2404</v>
      </c>
      <c r="C516" s="710" t="s">
        <v>148</v>
      </c>
      <c r="D516" s="710" t="s">
        <v>152</v>
      </c>
      <c r="E516" s="710" t="s">
        <v>3125</v>
      </c>
      <c r="F516" s="3"/>
    </row>
    <row r="517" spans="1:6" ht="15" customHeight="1">
      <c r="A517" t="s">
        <v>2405</v>
      </c>
      <c r="B517" t="s">
        <v>2406</v>
      </c>
      <c r="C517" s="710"/>
      <c r="D517" s="710"/>
      <c r="E517" s="710"/>
      <c r="F517" s="3"/>
    </row>
    <row r="518" spans="1:6" ht="15" customHeight="1">
      <c r="A518" s="937" t="s">
        <v>2407</v>
      </c>
      <c r="B518" s="937" t="s">
        <v>2408</v>
      </c>
      <c r="C518" s="940" t="s">
        <v>148</v>
      </c>
      <c r="D518" s="940" t="s">
        <v>152</v>
      </c>
      <c r="E518" s="940" t="s">
        <v>3125</v>
      </c>
      <c r="F518" s="3" t="s">
        <v>3126</v>
      </c>
    </row>
    <row r="519" spans="1:6" ht="15" customHeight="1">
      <c r="A519" t="s">
        <v>2409</v>
      </c>
      <c r="B519" t="s">
        <v>2410</v>
      </c>
      <c r="C519" s="710" t="s">
        <v>148</v>
      </c>
      <c r="D519" s="710" t="s">
        <v>150</v>
      </c>
      <c r="E519" s="710" t="s">
        <v>3125</v>
      </c>
      <c r="F519" s="3"/>
    </row>
    <row r="520" spans="1:6" ht="15" customHeight="1">
      <c r="A520" t="s">
        <v>2413</v>
      </c>
      <c r="B520" t="s">
        <v>2414</v>
      </c>
      <c r="C520" s="710"/>
      <c r="D520" s="710"/>
      <c r="E520" s="710"/>
      <c r="F520" s="3"/>
    </row>
    <row r="521" spans="1:6" ht="15" customHeight="1">
      <c r="A521" t="s">
        <v>2415</v>
      </c>
      <c r="B521" t="s">
        <v>2416</v>
      </c>
      <c r="C521" s="710"/>
      <c r="D521" s="710"/>
      <c r="E521" s="710"/>
      <c r="F521" s="3"/>
    </row>
    <row r="522" spans="1:6" ht="15" customHeight="1">
      <c r="A522" t="s">
        <v>2417</v>
      </c>
      <c r="B522" t="s">
        <v>2418</v>
      </c>
      <c r="C522" s="710"/>
      <c r="D522" s="710"/>
      <c r="E522" s="710"/>
      <c r="F522" s="3"/>
    </row>
    <row r="523" spans="1:6" ht="15" customHeight="1">
      <c r="A523" t="s">
        <v>2419</v>
      </c>
      <c r="B523" t="s">
        <v>2420</v>
      </c>
      <c r="C523" s="710" t="s">
        <v>148</v>
      </c>
      <c r="D523" s="710" t="s">
        <v>152</v>
      </c>
      <c r="E523" s="710" t="s">
        <v>3125</v>
      </c>
      <c r="F523" s="3"/>
    </row>
    <row r="524" spans="1:6" ht="15" customHeight="1">
      <c r="A524" t="s">
        <v>2421</v>
      </c>
      <c r="B524" t="s">
        <v>2422</v>
      </c>
      <c r="C524" s="710" t="s">
        <v>1162</v>
      </c>
      <c r="D524" s="710" t="s">
        <v>1166</v>
      </c>
      <c r="E524" s="710" t="s">
        <v>3125</v>
      </c>
      <c r="F524" s="3"/>
    </row>
    <row r="525" spans="1:6" ht="15" customHeight="1">
      <c r="A525" t="s">
        <v>2423</v>
      </c>
      <c r="B525" t="s">
        <v>2424</v>
      </c>
      <c r="C525" s="710"/>
      <c r="D525" s="710"/>
      <c r="E525" s="710"/>
      <c r="F525" s="3"/>
    </row>
    <row r="526" spans="1:6" ht="15" customHeight="1">
      <c r="A526" t="s">
        <v>2425</v>
      </c>
      <c r="B526" t="s">
        <v>2426</v>
      </c>
      <c r="C526" s="710" t="s">
        <v>148</v>
      </c>
      <c r="D526" s="710" t="s">
        <v>102</v>
      </c>
      <c r="E526" s="710" t="s">
        <v>3125</v>
      </c>
      <c r="F526" s="3"/>
    </row>
    <row r="527" spans="1:6" ht="15" customHeight="1">
      <c r="A527" t="s">
        <v>2427</v>
      </c>
      <c r="B527" s="706" t="s">
        <v>2428</v>
      </c>
      <c r="C527" s="710" t="s">
        <v>148</v>
      </c>
      <c r="D527" s="710" t="s">
        <v>102</v>
      </c>
      <c r="E527" s="710" t="s">
        <v>3125</v>
      </c>
      <c r="F527" s="3"/>
    </row>
    <row r="528" spans="1:6" ht="15" customHeight="1">
      <c r="A528" t="s">
        <v>2429</v>
      </c>
      <c r="B528" t="s">
        <v>2430</v>
      </c>
      <c r="C528" s="710" t="s">
        <v>148</v>
      </c>
      <c r="D528" s="710" t="s">
        <v>102</v>
      </c>
      <c r="E528" s="710" t="s">
        <v>3125</v>
      </c>
      <c r="F528" s="3"/>
    </row>
    <row r="529" spans="1:6" ht="15" customHeight="1">
      <c r="A529" s="943" t="s">
        <v>2431</v>
      </c>
      <c r="B529" s="943" t="s">
        <v>2432</v>
      </c>
      <c r="C529" s="710" t="s">
        <v>1162</v>
      </c>
      <c r="D529" s="710" t="s">
        <v>1164</v>
      </c>
      <c r="E529" s="710" t="s">
        <v>3125</v>
      </c>
      <c r="F529" s="3"/>
    </row>
    <row r="530" spans="1:6" ht="15" customHeight="1">
      <c r="A530" s="943" t="s">
        <v>2433</v>
      </c>
      <c r="B530" s="943" t="s">
        <v>2434</v>
      </c>
      <c r="C530" s="710" t="s">
        <v>1162</v>
      </c>
      <c r="D530" s="710" t="s">
        <v>1164</v>
      </c>
      <c r="E530" s="710" t="s">
        <v>3125</v>
      </c>
      <c r="F530" s="3"/>
    </row>
    <row r="531" spans="1:6" ht="15" customHeight="1">
      <c r="A531" t="s">
        <v>2435</v>
      </c>
      <c r="B531" t="s">
        <v>2436</v>
      </c>
      <c r="C531" s="710" t="s">
        <v>1162</v>
      </c>
      <c r="D531" s="710" t="s">
        <v>1164</v>
      </c>
      <c r="E531" s="710" t="s">
        <v>3125</v>
      </c>
      <c r="F531" s="3"/>
    </row>
    <row r="532" spans="1:6" ht="15" customHeight="1">
      <c r="A532" t="s">
        <v>2437</v>
      </c>
      <c r="B532" t="s">
        <v>2438</v>
      </c>
      <c r="C532" s="710"/>
      <c r="D532" s="710"/>
      <c r="E532" s="710"/>
      <c r="F532" s="3"/>
    </row>
    <row r="533" spans="1:6" ht="15" customHeight="1">
      <c r="A533" t="s">
        <v>2439</v>
      </c>
      <c r="B533" t="s">
        <v>2440</v>
      </c>
      <c r="C533" s="710" t="s">
        <v>1162</v>
      </c>
      <c r="D533" s="710" t="s">
        <v>1165</v>
      </c>
      <c r="E533" s="710" t="s">
        <v>3125</v>
      </c>
      <c r="F533" s="3"/>
    </row>
    <row r="534" spans="1:6" ht="15" customHeight="1">
      <c r="A534" t="s">
        <v>2441</v>
      </c>
      <c r="B534" t="s">
        <v>2442</v>
      </c>
      <c r="C534" s="710" t="s">
        <v>157</v>
      </c>
      <c r="D534" s="710" t="s">
        <v>160</v>
      </c>
      <c r="E534" s="710" t="s">
        <v>3125</v>
      </c>
      <c r="F534" s="3"/>
    </row>
    <row r="535" spans="1:6" ht="15" customHeight="1">
      <c r="A535" s="1048" t="s">
        <v>2443</v>
      </c>
      <c r="B535" s="1048" t="s">
        <v>2444</v>
      </c>
      <c r="C535" s="1049" t="s">
        <v>157</v>
      </c>
      <c r="D535" s="1049" t="s">
        <v>162</v>
      </c>
      <c r="E535" s="1049" t="s">
        <v>3125</v>
      </c>
      <c r="F535" s="3"/>
    </row>
    <row r="536" spans="1:6" ht="15" customHeight="1">
      <c r="A536" s="937" t="s">
        <v>2447</v>
      </c>
      <c r="B536" s="937" t="s">
        <v>2448</v>
      </c>
      <c r="C536" s="940" t="s">
        <v>157</v>
      </c>
      <c r="D536" s="940" t="s">
        <v>160</v>
      </c>
      <c r="E536" s="940" t="s">
        <v>3125</v>
      </c>
      <c r="F536" s="3"/>
    </row>
    <row r="537" spans="1:6" ht="15" customHeight="1">
      <c r="A537" t="s">
        <v>2449</v>
      </c>
      <c r="B537" t="s">
        <v>2450</v>
      </c>
      <c r="C537" s="710" t="s">
        <v>1161</v>
      </c>
      <c r="D537" s="710" t="s">
        <v>1170</v>
      </c>
      <c r="E537" s="710" t="s">
        <v>3125</v>
      </c>
      <c r="F537" s="3"/>
    </row>
    <row r="538" spans="1:6" ht="15" customHeight="1">
      <c r="A538" t="s">
        <v>2451</v>
      </c>
      <c r="B538" t="s">
        <v>2452</v>
      </c>
      <c r="C538" s="710" t="s">
        <v>1161</v>
      </c>
      <c r="D538" s="710" t="s">
        <v>1168</v>
      </c>
      <c r="E538" s="710" t="s">
        <v>3125</v>
      </c>
      <c r="F538" s="3"/>
    </row>
    <row r="539" spans="1:6" ht="15" customHeight="1">
      <c r="A539" t="s">
        <v>2453</v>
      </c>
      <c r="B539" s="706" t="s">
        <v>2454</v>
      </c>
      <c r="C539" s="710" t="s">
        <v>1161</v>
      </c>
      <c r="D539" s="710" t="s">
        <v>1169</v>
      </c>
      <c r="E539" s="710" t="s">
        <v>3125</v>
      </c>
      <c r="F539" s="3"/>
    </row>
    <row r="540" spans="1:6" ht="15" customHeight="1">
      <c r="A540" t="s">
        <v>2455</v>
      </c>
      <c r="B540" t="s">
        <v>2456</v>
      </c>
      <c r="C540" s="710" t="s">
        <v>157</v>
      </c>
      <c r="D540" s="710" t="s">
        <v>162</v>
      </c>
      <c r="E540" s="710" t="s">
        <v>3125</v>
      </c>
      <c r="F540" s="3"/>
    </row>
    <row r="541" spans="1:6" ht="15" customHeight="1">
      <c r="A541" t="s">
        <v>2457</v>
      </c>
      <c r="B541" t="s">
        <v>2458</v>
      </c>
      <c r="C541" s="710" t="s">
        <v>157</v>
      </c>
      <c r="D541" s="710" t="s">
        <v>163</v>
      </c>
      <c r="E541" s="710" t="s">
        <v>3125</v>
      </c>
      <c r="F541" s="3"/>
    </row>
    <row r="542" spans="1:6" ht="15" customHeight="1">
      <c r="A542" t="s">
        <v>2459</v>
      </c>
      <c r="B542" t="s">
        <v>2460</v>
      </c>
      <c r="C542" s="710" t="s">
        <v>1161</v>
      </c>
      <c r="D542" s="710" t="s">
        <v>1168</v>
      </c>
      <c r="E542" s="710" t="s">
        <v>3125</v>
      </c>
      <c r="F542" s="3"/>
    </row>
    <row r="543" spans="1:6" ht="15" customHeight="1">
      <c r="A543" t="s">
        <v>2461</v>
      </c>
      <c r="B543" t="s">
        <v>2462</v>
      </c>
      <c r="C543" s="710" t="s">
        <v>157</v>
      </c>
      <c r="D543" s="710" t="s">
        <v>163</v>
      </c>
      <c r="E543" s="710" t="s">
        <v>3125</v>
      </c>
      <c r="F543" s="3"/>
    </row>
    <row r="544" spans="1:6" ht="15" customHeight="1">
      <c r="A544" t="s">
        <v>2465</v>
      </c>
      <c r="B544" t="s">
        <v>2466</v>
      </c>
      <c r="C544" s="710"/>
      <c r="D544" s="710"/>
      <c r="E544" s="710"/>
      <c r="F544" s="3"/>
    </row>
    <row r="545" spans="1:6" ht="15" customHeight="1">
      <c r="A545" t="s">
        <v>2467</v>
      </c>
      <c r="B545" t="s">
        <v>2468</v>
      </c>
      <c r="C545" s="710" t="s">
        <v>157</v>
      </c>
      <c r="D545" s="710" t="s">
        <v>168</v>
      </c>
      <c r="E545" s="710" t="s">
        <v>3125</v>
      </c>
      <c r="F545" s="3"/>
    </row>
    <row r="546" spans="1:6" ht="15" customHeight="1">
      <c r="A546" t="s">
        <v>2469</v>
      </c>
      <c r="B546" t="s">
        <v>3133</v>
      </c>
      <c r="C546" s="710" t="s">
        <v>1161</v>
      </c>
      <c r="D546" s="710" t="s">
        <v>1168</v>
      </c>
      <c r="E546" s="710" t="s">
        <v>3125</v>
      </c>
      <c r="F546" s="3"/>
    </row>
    <row r="547" spans="1:6" ht="15" customHeight="1">
      <c r="A547" t="s">
        <v>2473</v>
      </c>
      <c r="B547" t="s">
        <v>2474</v>
      </c>
      <c r="C547" s="710" t="s">
        <v>176</v>
      </c>
      <c r="D547" s="710" t="s">
        <v>178</v>
      </c>
      <c r="E547" s="710" t="s">
        <v>3125</v>
      </c>
      <c r="F547" s="3"/>
    </row>
    <row r="548" spans="1:6" ht="15" customHeight="1">
      <c r="A548" t="s">
        <v>2475</v>
      </c>
      <c r="B548" t="s">
        <v>2476</v>
      </c>
      <c r="C548" s="710" t="s">
        <v>176</v>
      </c>
      <c r="D548" s="710" t="s">
        <v>178</v>
      </c>
      <c r="E548" s="710" t="s">
        <v>3125</v>
      </c>
      <c r="F548" s="3"/>
    </row>
    <row r="549" spans="1:6" ht="15" customHeight="1">
      <c r="A549" t="s">
        <v>2477</v>
      </c>
      <c r="B549" t="s">
        <v>2478</v>
      </c>
      <c r="C549" s="710"/>
      <c r="D549" s="710"/>
      <c r="E549" s="710"/>
      <c r="F549" s="3"/>
    </row>
    <row r="550" spans="1:6" ht="15" customHeight="1">
      <c r="A550" t="s">
        <v>2479</v>
      </c>
      <c r="B550" t="s">
        <v>2480</v>
      </c>
      <c r="C550" s="710"/>
      <c r="D550" s="710"/>
      <c r="E550" s="710"/>
      <c r="F550" s="3"/>
    </row>
    <row r="551" spans="1:6" ht="15" customHeight="1">
      <c r="A551" t="s">
        <v>2481</v>
      </c>
      <c r="B551" t="s">
        <v>2482</v>
      </c>
      <c r="C551" s="710"/>
      <c r="D551" s="710"/>
      <c r="E551" s="710"/>
      <c r="F551" s="3"/>
    </row>
    <row r="552" spans="1:6" ht="15" customHeight="1">
      <c r="A552" t="s">
        <v>2485</v>
      </c>
      <c r="B552" t="s">
        <v>2486</v>
      </c>
      <c r="C552" s="710" t="s">
        <v>157</v>
      </c>
      <c r="D552" s="710" t="s">
        <v>168</v>
      </c>
      <c r="E552" s="710" t="s">
        <v>3125</v>
      </c>
      <c r="F552" s="3"/>
    </row>
    <row r="553" spans="1:6" ht="15" customHeight="1">
      <c r="A553" t="s">
        <v>2487</v>
      </c>
      <c r="B553" t="s">
        <v>2488</v>
      </c>
      <c r="C553" s="710" t="s">
        <v>172</v>
      </c>
      <c r="D553" s="710" t="s">
        <v>1173</v>
      </c>
      <c r="E553" s="710" t="s">
        <v>3125</v>
      </c>
      <c r="F553" s="3"/>
    </row>
    <row r="554" spans="1:6" ht="15" customHeight="1">
      <c r="A554" t="s">
        <v>2489</v>
      </c>
      <c r="B554" t="s">
        <v>2490</v>
      </c>
      <c r="C554" s="710" t="s">
        <v>172</v>
      </c>
      <c r="D554" s="710" t="s">
        <v>1172</v>
      </c>
      <c r="E554" s="710" t="s">
        <v>3125</v>
      </c>
      <c r="F554" s="3"/>
    </row>
    <row r="555" spans="1:6" ht="15" customHeight="1">
      <c r="A555" t="s">
        <v>2491</v>
      </c>
      <c r="B555" t="s">
        <v>2492</v>
      </c>
      <c r="C555" s="710" t="s">
        <v>172</v>
      </c>
      <c r="D555" s="710" t="s">
        <v>1173</v>
      </c>
      <c r="E555" s="710" t="s">
        <v>3125</v>
      </c>
      <c r="F555" s="3"/>
    </row>
    <row r="556" spans="1:6" ht="15" customHeight="1">
      <c r="A556" t="s">
        <v>2493</v>
      </c>
      <c r="B556" t="s">
        <v>2494</v>
      </c>
      <c r="C556" s="710" t="s">
        <v>172</v>
      </c>
      <c r="D556" s="710" t="s">
        <v>1172</v>
      </c>
      <c r="E556" s="710" t="s">
        <v>3125</v>
      </c>
      <c r="F556" s="3"/>
    </row>
    <row r="557" spans="1:6" ht="15" customHeight="1">
      <c r="A557" t="s">
        <v>2495</v>
      </c>
      <c r="B557" t="s">
        <v>2496</v>
      </c>
      <c r="C557" s="710" t="s">
        <v>172</v>
      </c>
      <c r="D557" s="710" t="s">
        <v>1173</v>
      </c>
      <c r="E557" s="710" t="s">
        <v>3125</v>
      </c>
      <c r="F557" s="3"/>
    </row>
    <row r="558" spans="1:6" ht="15" customHeight="1">
      <c r="A558" t="s">
        <v>2497</v>
      </c>
      <c r="B558" t="s">
        <v>2498</v>
      </c>
      <c r="C558" s="710" t="s">
        <v>172</v>
      </c>
      <c r="D558" s="710" t="s">
        <v>1172</v>
      </c>
      <c r="E558" s="710" t="s">
        <v>3125</v>
      </c>
      <c r="F558" s="3"/>
    </row>
    <row r="559" spans="1:6" ht="15" customHeight="1">
      <c r="A559" t="s">
        <v>2499</v>
      </c>
      <c r="B559" t="s">
        <v>2500</v>
      </c>
      <c r="C559" s="710" t="s">
        <v>172</v>
      </c>
      <c r="D559" s="710" t="s">
        <v>1172</v>
      </c>
      <c r="E559" s="710" t="s">
        <v>3125</v>
      </c>
      <c r="F559" s="3"/>
    </row>
    <row r="560" spans="1:6" ht="15" customHeight="1">
      <c r="A560" t="s">
        <v>2501</v>
      </c>
      <c r="B560" t="s">
        <v>2502</v>
      </c>
      <c r="C560" s="710" t="s">
        <v>172</v>
      </c>
      <c r="D560" s="710" t="s">
        <v>1171</v>
      </c>
      <c r="E560" s="710" t="s">
        <v>3125</v>
      </c>
      <c r="F560" s="3"/>
    </row>
    <row r="561" spans="1:6" ht="15" customHeight="1">
      <c r="A561" t="s">
        <v>2503</v>
      </c>
      <c r="B561" t="s">
        <v>2504</v>
      </c>
      <c r="C561" s="710" t="s">
        <v>172</v>
      </c>
      <c r="D561" s="710" t="s">
        <v>1171</v>
      </c>
      <c r="E561" s="710" t="s">
        <v>3125</v>
      </c>
      <c r="F561" s="3"/>
    </row>
    <row r="562" spans="1:6" ht="15" customHeight="1">
      <c r="A562" t="s">
        <v>2505</v>
      </c>
      <c r="B562" t="s">
        <v>2506</v>
      </c>
      <c r="C562" s="710" t="s">
        <v>172</v>
      </c>
      <c r="D562" s="710" t="s">
        <v>1171</v>
      </c>
      <c r="E562" s="710" t="s">
        <v>3125</v>
      </c>
      <c r="F562" s="3"/>
    </row>
    <row r="563" spans="1:6" ht="15" customHeight="1">
      <c r="A563" t="s">
        <v>2507</v>
      </c>
      <c r="B563" t="s">
        <v>2508</v>
      </c>
      <c r="C563" s="710" t="s">
        <v>172</v>
      </c>
      <c r="D563" s="710" t="s">
        <v>1171</v>
      </c>
      <c r="E563" s="710" t="s">
        <v>3125</v>
      </c>
      <c r="F563" s="3"/>
    </row>
    <row r="564" spans="1:6" ht="15" customHeight="1">
      <c r="A564" t="s">
        <v>2509</v>
      </c>
      <c r="B564" t="s">
        <v>2510</v>
      </c>
      <c r="C564" s="710" t="s">
        <v>172</v>
      </c>
      <c r="D564" s="710" t="s">
        <v>1174</v>
      </c>
      <c r="E564" s="710" t="s">
        <v>3125</v>
      </c>
      <c r="F564" s="3"/>
    </row>
    <row r="565" spans="1:6" ht="15" customHeight="1">
      <c r="A565" t="s">
        <v>2511</v>
      </c>
      <c r="B565" t="s">
        <v>2512</v>
      </c>
      <c r="C565" s="710" t="s">
        <v>172</v>
      </c>
      <c r="D565" s="710" t="s">
        <v>1173</v>
      </c>
      <c r="E565" s="710" t="s">
        <v>3125</v>
      </c>
      <c r="F565" s="3"/>
    </row>
    <row r="566" spans="1:6" ht="15" customHeight="1">
      <c r="A566" t="s">
        <v>2513</v>
      </c>
      <c r="B566" t="s">
        <v>2514</v>
      </c>
      <c r="C566" s="710" t="s">
        <v>172</v>
      </c>
      <c r="D566" s="710" t="s">
        <v>1171</v>
      </c>
      <c r="E566" s="710" t="s">
        <v>3125</v>
      </c>
      <c r="F566" s="3"/>
    </row>
    <row r="567" spans="1:6" ht="15" customHeight="1">
      <c r="A567" t="s">
        <v>2515</v>
      </c>
      <c r="B567" t="s">
        <v>2516</v>
      </c>
      <c r="C567" s="710" t="s">
        <v>172</v>
      </c>
      <c r="D567" s="710" t="s">
        <v>1172</v>
      </c>
      <c r="E567" s="710" t="s">
        <v>3125</v>
      </c>
      <c r="F567" s="3"/>
    </row>
    <row r="568" spans="1:6" ht="15" customHeight="1">
      <c r="A568" t="s">
        <v>2517</v>
      </c>
      <c r="B568" t="s">
        <v>2518</v>
      </c>
      <c r="C568" s="710" t="s">
        <v>172</v>
      </c>
      <c r="D568" s="710" t="s">
        <v>1173</v>
      </c>
      <c r="E568" s="710" t="s">
        <v>3125</v>
      </c>
      <c r="F568" s="3"/>
    </row>
    <row r="569" spans="1:6" ht="15" customHeight="1">
      <c r="A569" t="s">
        <v>2519</v>
      </c>
      <c r="B569" t="s">
        <v>2520</v>
      </c>
      <c r="C569" s="710" t="s">
        <v>172</v>
      </c>
      <c r="D569" s="710" t="s">
        <v>1171</v>
      </c>
      <c r="E569" s="710" t="s">
        <v>3125</v>
      </c>
      <c r="F569" s="3"/>
    </row>
    <row r="570" spans="1:6" ht="15" customHeight="1">
      <c r="A570" t="s">
        <v>2521</v>
      </c>
      <c r="B570" t="s">
        <v>2522</v>
      </c>
      <c r="C570" s="710" t="s">
        <v>172</v>
      </c>
      <c r="D570" s="710" t="s">
        <v>1172</v>
      </c>
      <c r="E570" s="710" t="s">
        <v>3125</v>
      </c>
      <c r="F570" s="3"/>
    </row>
    <row r="571" spans="1:6" ht="15" customHeight="1">
      <c r="A571" s="1048" t="s">
        <v>2523</v>
      </c>
      <c r="B571" s="1048" t="s">
        <v>2524</v>
      </c>
      <c r="C571" s="1049" t="s">
        <v>172</v>
      </c>
      <c r="D571" s="1049" t="s">
        <v>1173</v>
      </c>
      <c r="E571" s="1049" t="s">
        <v>3125</v>
      </c>
      <c r="F571" s="3"/>
    </row>
    <row r="572" spans="1:6" ht="15" customHeight="1">
      <c r="A572" t="s">
        <v>2525</v>
      </c>
      <c r="B572" t="s">
        <v>2526</v>
      </c>
      <c r="C572" s="710"/>
      <c r="D572" s="710"/>
      <c r="E572" s="710"/>
      <c r="F572" s="3"/>
    </row>
    <row r="573" spans="1:6" ht="15" customHeight="1">
      <c r="A573" t="s">
        <v>2527</v>
      </c>
      <c r="B573" t="s">
        <v>2528</v>
      </c>
      <c r="C573" s="710"/>
      <c r="D573" s="710"/>
      <c r="E573" s="710"/>
      <c r="F573" s="3"/>
    </row>
    <row r="574" spans="1:6" ht="15" customHeight="1">
      <c r="A574" t="s">
        <v>2529</v>
      </c>
      <c r="B574" t="s">
        <v>2530</v>
      </c>
      <c r="C574" s="710" t="s">
        <v>176</v>
      </c>
      <c r="D574" s="710" t="s">
        <v>179</v>
      </c>
      <c r="E574" s="710" t="s">
        <v>3125</v>
      </c>
      <c r="F574" s="3"/>
    </row>
    <row r="575" spans="1:6" ht="15" customHeight="1">
      <c r="A575" t="s">
        <v>2531</v>
      </c>
      <c r="B575" t="s">
        <v>2532</v>
      </c>
      <c r="C575" s="710"/>
      <c r="D575" s="710"/>
      <c r="E575" s="710"/>
      <c r="F575" s="3"/>
    </row>
    <row r="576" spans="1:6" ht="15" customHeight="1">
      <c r="A576" t="s">
        <v>2533</v>
      </c>
      <c r="B576" t="s">
        <v>2534</v>
      </c>
      <c r="C576" s="710"/>
      <c r="D576" s="710"/>
      <c r="E576" s="710"/>
      <c r="F576" s="3"/>
    </row>
    <row r="577" spans="1:6" ht="15" customHeight="1">
      <c r="A577" t="s">
        <v>2535</v>
      </c>
      <c r="B577" t="s">
        <v>2536</v>
      </c>
      <c r="C577" s="710" t="s">
        <v>172</v>
      </c>
      <c r="D577" s="710" t="s">
        <v>1173</v>
      </c>
      <c r="E577" s="710" t="s">
        <v>3125</v>
      </c>
      <c r="F577" s="3"/>
    </row>
    <row r="578" spans="1:6" ht="15" customHeight="1">
      <c r="A578" t="s">
        <v>2537</v>
      </c>
      <c r="B578" t="s">
        <v>2538</v>
      </c>
      <c r="C578" s="710" t="s">
        <v>172</v>
      </c>
      <c r="D578" s="710" t="s">
        <v>1171</v>
      </c>
      <c r="E578" s="710" t="s">
        <v>3125</v>
      </c>
      <c r="F578" s="3"/>
    </row>
    <row r="579" spans="1:6" ht="15" customHeight="1">
      <c r="A579" t="s">
        <v>2539</v>
      </c>
      <c r="B579" t="s">
        <v>2540</v>
      </c>
      <c r="C579" s="710" t="s">
        <v>172</v>
      </c>
      <c r="D579" s="710" t="s">
        <v>1172</v>
      </c>
      <c r="E579" s="710" t="s">
        <v>3125</v>
      </c>
      <c r="F579" s="3"/>
    </row>
    <row r="580" spans="1:6" ht="15" customHeight="1">
      <c r="A580" t="s">
        <v>2541</v>
      </c>
      <c r="B580" t="s">
        <v>2542</v>
      </c>
      <c r="C580" s="710" t="s">
        <v>172</v>
      </c>
      <c r="D580" s="710" t="s">
        <v>1173</v>
      </c>
      <c r="E580" s="710" t="s">
        <v>3125</v>
      </c>
      <c r="F580" s="3"/>
    </row>
    <row r="581" spans="1:6" ht="15" customHeight="1">
      <c r="A581" t="s">
        <v>2543</v>
      </c>
      <c r="B581" t="s">
        <v>2544</v>
      </c>
      <c r="C581" s="710" t="s">
        <v>172</v>
      </c>
      <c r="D581" s="710" t="s">
        <v>1171</v>
      </c>
      <c r="E581" s="710" t="s">
        <v>3125</v>
      </c>
      <c r="F581" s="3"/>
    </row>
    <row r="582" spans="1:6" ht="15" customHeight="1">
      <c r="A582" t="s">
        <v>2545</v>
      </c>
      <c r="B582" t="s">
        <v>2546</v>
      </c>
      <c r="C582" s="710" t="s">
        <v>172</v>
      </c>
      <c r="D582" s="710" t="s">
        <v>1172</v>
      </c>
      <c r="E582" s="710" t="s">
        <v>3125</v>
      </c>
      <c r="F582" s="3"/>
    </row>
    <row r="583" spans="1:6" ht="15" customHeight="1">
      <c r="A583" t="s">
        <v>2547</v>
      </c>
      <c r="B583" t="s">
        <v>2548</v>
      </c>
      <c r="C583" s="710" t="s">
        <v>176</v>
      </c>
      <c r="D583" s="710" t="s">
        <v>180</v>
      </c>
      <c r="E583" s="710" t="s">
        <v>3125</v>
      </c>
      <c r="F583" s="3"/>
    </row>
    <row r="584" spans="1:6" ht="15" customHeight="1">
      <c r="A584" t="s">
        <v>2549</v>
      </c>
      <c r="B584" t="s">
        <v>2550</v>
      </c>
      <c r="C584" s="710" t="s">
        <v>176</v>
      </c>
      <c r="D584" s="710" t="s">
        <v>180</v>
      </c>
      <c r="E584" s="710" t="s">
        <v>3125</v>
      </c>
      <c r="F584" s="3"/>
    </row>
    <row r="585" spans="1:6" ht="15" customHeight="1">
      <c r="A585" t="s">
        <v>2551</v>
      </c>
      <c r="B585" t="s">
        <v>2552</v>
      </c>
      <c r="C585" s="710" t="s">
        <v>176</v>
      </c>
      <c r="D585" s="710" t="s">
        <v>181</v>
      </c>
      <c r="E585" s="710" t="s">
        <v>3125</v>
      </c>
      <c r="F585" s="3"/>
    </row>
    <row r="586" spans="1:6" ht="15" customHeight="1">
      <c r="A586" t="s">
        <v>2553</v>
      </c>
      <c r="B586" t="s">
        <v>2554</v>
      </c>
      <c r="C586" s="710" t="s">
        <v>176</v>
      </c>
      <c r="D586" s="710" t="s">
        <v>181</v>
      </c>
      <c r="E586" s="710" t="s">
        <v>3125</v>
      </c>
      <c r="F586" s="3"/>
    </row>
    <row r="587" spans="1:6" ht="15" customHeight="1">
      <c r="A587" t="s">
        <v>2555</v>
      </c>
      <c r="B587" t="s">
        <v>2556</v>
      </c>
      <c r="C587" s="710" t="s">
        <v>176</v>
      </c>
      <c r="D587" s="710" t="s">
        <v>182</v>
      </c>
      <c r="E587" s="710" t="s">
        <v>3125</v>
      </c>
      <c r="F587" s="3"/>
    </row>
    <row r="588" spans="1:6" ht="15" customHeight="1">
      <c r="A588" t="s">
        <v>2557</v>
      </c>
      <c r="B588" t="s">
        <v>2558</v>
      </c>
      <c r="C588" s="710" t="s">
        <v>176</v>
      </c>
      <c r="D588" s="710" t="s">
        <v>183</v>
      </c>
      <c r="E588" s="710" t="s">
        <v>3125</v>
      </c>
      <c r="F588" s="3"/>
    </row>
    <row r="589" spans="1:6" ht="15" customHeight="1">
      <c r="A589" t="s">
        <v>2559</v>
      </c>
      <c r="B589" t="s">
        <v>2560</v>
      </c>
      <c r="C589" s="710"/>
      <c r="D589" s="710"/>
      <c r="E589" s="710"/>
      <c r="F589" s="3"/>
    </row>
    <row r="590" spans="1:6" ht="15" customHeight="1">
      <c r="A590" t="s">
        <v>2561</v>
      </c>
      <c r="B590" t="s">
        <v>2562</v>
      </c>
      <c r="C590" s="710"/>
      <c r="D590" s="710"/>
      <c r="E590" s="710"/>
      <c r="F590" s="3"/>
    </row>
    <row r="591" spans="1:6" ht="15" customHeight="1">
      <c r="A591" t="s">
        <v>2563</v>
      </c>
      <c r="B591" t="s">
        <v>2564</v>
      </c>
      <c r="C591" s="710" t="s">
        <v>176</v>
      </c>
      <c r="D591" s="710" t="s">
        <v>187</v>
      </c>
      <c r="E591" s="710" t="s">
        <v>3125</v>
      </c>
      <c r="F591" s="3"/>
    </row>
    <row r="592" spans="1:6" ht="15" customHeight="1">
      <c r="A592" t="s">
        <v>2565</v>
      </c>
      <c r="B592" t="s">
        <v>2566</v>
      </c>
      <c r="C592" s="710" t="s">
        <v>176</v>
      </c>
      <c r="D592" s="710" t="s">
        <v>188</v>
      </c>
      <c r="E592" s="710" t="s">
        <v>3125</v>
      </c>
      <c r="F592" s="3"/>
    </row>
    <row r="593" spans="1:6" ht="15" customHeight="1">
      <c r="A593" t="s">
        <v>2567</v>
      </c>
      <c r="B593" t="s">
        <v>2568</v>
      </c>
      <c r="C593" s="710" t="s">
        <v>157</v>
      </c>
      <c r="D593" s="710" t="s">
        <v>127</v>
      </c>
      <c r="E593" s="710"/>
      <c r="F593" s="3"/>
    </row>
    <row r="594" spans="1:6" ht="15" customHeight="1">
      <c r="A594" t="s">
        <v>2569</v>
      </c>
      <c r="B594" t="s">
        <v>2570</v>
      </c>
      <c r="C594" s="710" t="s">
        <v>172</v>
      </c>
      <c r="D594" s="710" t="s">
        <v>127</v>
      </c>
      <c r="E594" s="710"/>
      <c r="F594" s="3"/>
    </row>
    <row r="595" spans="1:6" ht="15" customHeight="1">
      <c r="A595" t="s">
        <v>2595</v>
      </c>
      <c r="B595" t="s">
        <v>2596</v>
      </c>
      <c r="C595" s="710"/>
      <c r="D595" s="710"/>
      <c r="E595" s="710"/>
      <c r="F595" s="3"/>
    </row>
    <row r="596" spans="1:6" ht="15" customHeight="1">
      <c r="A596" t="s">
        <v>2601</v>
      </c>
      <c r="B596" t="s">
        <v>2602</v>
      </c>
      <c r="C596" s="710"/>
      <c r="D596" s="710"/>
      <c r="E596" s="710"/>
      <c r="F596" s="3"/>
    </row>
    <row r="597" spans="1:6" ht="15" customHeight="1">
      <c r="A597" t="s">
        <v>2619</v>
      </c>
      <c r="B597" t="s">
        <v>2620</v>
      </c>
      <c r="C597" s="710" t="s">
        <v>88</v>
      </c>
      <c r="D597" s="710" t="s">
        <v>93</v>
      </c>
      <c r="E597" s="710"/>
      <c r="F597" s="3"/>
    </row>
    <row r="598" spans="1:6" ht="15" customHeight="1">
      <c r="A598" t="s">
        <v>2621</v>
      </c>
      <c r="B598" t="s">
        <v>2622</v>
      </c>
      <c r="C598" s="710" t="s">
        <v>88</v>
      </c>
      <c r="D598" s="710" t="s">
        <v>93</v>
      </c>
      <c r="E598" s="710"/>
      <c r="F598" s="3"/>
    </row>
    <row r="599" spans="1:6" ht="15" customHeight="1">
      <c r="A599" t="s">
        <v>2623</v>
      </c>
      <c r="B599" t="s">
        <v>2624</v>
      </c>
      <c r="C599" s="710" t="s">
        <v>88</v>
      </c>
      <c r="D599" s="710" t="s">
        <v>93</v>
      </c>
      <c r="E599" s="710"/>
      <c r="F599" s="3"/>
    </row>
    <row r="600" spans="1:6" ht="15" customHeight="1">
      <c r="A600" t="s">
        <v>2625</v>
      </c>
      <c r="B600" t="s">
        <v>2626</v>
      </c>
      <c r="C600" s="710" t="s">
        <v>88</v>
      </c>
      <c r="D600" s="710" t="s">
        <v>93</v>
      </c>
      <c r="E600" s="710"/>
      <c r="F600" s="3"/>
    </row>
    <row r="601" spans="1:6" ht="15" customHeight="1">
      <c r="A601" t="s">
        <v>2635</v>
      </c>
      <c r="B601" t="s">
        <v>2636</v>
      </c>
      <c r="C601" s="710" t="s">
        <v>88</v>
      </c>
      <c r="D601" s="710" t="s">
        <v>93</v>
      </c>
      <c r="E601" s="710"/>
      <c r="F601" s="3"/>
    </row>
    <row r="602" spans="1:6" ht="15" customHeight="1">
      <c r="A602" t="s">
        <v>2637</v>
      </c>
      <c r="B602" t="s">
        <v>2638</v>
      </c>
      <c r="C602" s="710" t="s">
        <v>88</v>
      </c>
      <c r="D602" s="710" t="s">
        <v>93</v>
      </c>
      <c r="E602" s="710"/>
      <c r="F602" s="3"/>
    </row>
    <row r="603" spans="1:6" ht="15" customHeight="1">
      <c r="A603" t="s">
        <v>2641</v>
      </c>
      <c r="B603" t="s">
        <v>2642</v>
      </c>
      <c r="C603" s="710" t="s">
        <v>88</v>
      </c>
      <c r="D603" s="710" t="s">
        <v>93</v>
      </c>
      <c r="E603" s="710"/>
      <c r="F603" s="3"/>
    </row>
    <row r="604" spans="1:6" ht="15" customHeight="1">
      <c r="A604" t="s">
        <v>2643</v>
      </c>
      <c r="B604" t="s">
        <v>2644</v>
      </c>
      <c r="C604" s="710" t="s">
        <v>88</v>
      </c>
      <c r="D604" s="710" t="s">
        <v>93</v>
      </c>
      <c r="E604" s="710"/>
      <c r="F604" s="3"/>
    </row>
    <row r="605" spans="1:6" ht="15" customHeight="1">
      <c r="A605" t="s">
        <v>2649</v>
      </c>
      <c r="B605" t="s">
        <v>2650</v>
      </c>
      <c r="C605" s="710" t="s">
        <v>88</v>
      </c>
      <c r="D605" s="710" t="s">
        <v>3127</v>
      </c>
      <c r="E605" s="710"/>
      <c r="F605" s="3"/>
    </row>
    <row r="606" spans="1:6" ht="15" customHeight="1">
      <c r="A606" t="s">
        <v>2657</v>
      </c>
      <c r="B606" t="s">
        <v>2658</v>
      </c>
      <c r="C606" s="710" t="s">
        <v>88</v>
      </c>
      <c r="D606" s="710" t="s">
        <v>93</v>
      </c>
      <c r="E606" s="710"/>
      <c r="F606" s="3"/>
    </row>
    <row r="607" spans="1:6" ht="15" customHeight="1">
      <c r="A607" t="s">
        <v>2661</v>
      </c>
      <c r="B607" t="s">
        <v>2662</v>
      </c>
      <c r="C607" s="710" t="s">
        <v>88</v>
      </c>
      <c r="D607" s="710" t="s">
        <v>93</v>
      </c>
      <c r="E607" s="710"/>
      <c r="F607" s="3"/>
    </row>
    <row r="608" spans="1:6" ht="15" customHeight="1">
      <c r="A608" t="s">
        <v>2663</v>
      </c>
      <c r="B608" t="s">
        <v>2664</v>
      </c>
      <c r="C608" s="710" t="s">
        <v>88</v>
      </c>
      <c r="D608" s="710" t="s">
        <v>93</v>
      </c>
      <c r="E608" s="710"/>
      <c r="F608" s="3"/>
    </row>
    <row r="609" spans="1:6" ht="15" customHeight="1">
      <c r="A609" t="s">
        <v>2665</v>
      </c>
      <c r="B609" t="s">
        <v>2666</v>
      </c>
      <c r="C609" s="710"/>
      <c r="D609" s="710"/>
      <c r="E609" s="710"/>
      <c r="F609" s="3"/>
    </row>
    <row r="610" spans="1:6" ht="15" customHeight="1">
      <c r="A610" t="s">
        <v>2671</v>
      </c>
      <c r="B610" t="s">
        <v>2672</v>
      </c>
      <c r="C610" s="710"/>
      <c r="D610" s="710"/>
      <c r="E610" s="710"/>
      <c r="F610" s="3"/>
    </row>
    <row r="611" spans="1:6" ht="15" customHeight="1">
      <c r="A611" t="s">
        <v>2685</v>
      </c>
      <c r="B611" t="s">
        <v>2686</v>
      </c>
      <c r="C611" s="710" t="s">
        <v>88</v>
      </c>
      <c r="D611" s="710" t="s">
        <v>94</v>
      </c>
      <c r="E611" s="710"/>
      <c r="F611" s="3"/>
    </row>
    <row r="612" spans="1:6" ht="15" customHeight="1">
      <c r="A612" t="s">
        <v>2687</v>
      </c>
      <c r="B612" t="s">
        <v>2688</v>
      </c>
      <c r="C612" s="710" t="s">
        <v>88</v>
      </c>
      <c r="D612" s="710" t="s">
        <v>3127</v>
      </c>
      <c r="E612" s="710"/>
      <c r="F612" s="3"/>
    </row>
    <row r="613" spans="1:6" ht="15" customHeight="1">
      <c r="A613" t="s">
        <v>2691</v>
      </c>
      <c r="B613" t="s">
        <v>2692</v>
      </c>
      <c r="C613" s="710" t="s">
        <v>88</v>
      </c>
      <c r="D613" s="710" t="s">
        <v>94</v>
      </c>
      <c r="E613" s="710"/>
      <c r="F613" s="3"/>
    </row>
    <row r="614" spans="1:6" ht="15" customHeight="1">
      <c r="A614" s="1048" t="s">
        <v>2693</v>
      </c>
      <c r="B614" s="1048" t="s">
        <v>2694</v>
      </c>
      <c r="C614" s="1049" t="s">
        <v>88</v>
      </c>
      <c r="D614" s="1049" t="s">
        <v>3127</v>
      </c>
      <c r="E614" s="1049"/>
      <c r="F614" s="3"/>
    </row>
    <row r="615" spans="1:6" ht="15" customHeight="1">
      <c r="A615" t="s">
        <v>2699</v>
      </c>
      <c r="B615" t="s">
        <v>2700</v>
      </c>
      <c r="C615" s="710" t="s">
        <v>88</v>
      </c>
      <c r="D615" s="710" t="s">
        <v>94</v>
      </c>
      <c r="E615" s="710"/>
      <c r="F615" s="3"/>
    </row>
    <row r="616" spans="1:6" ht="15" customHeight="1">
      <c r="A616" t="s">
        <v>2701</v>
      </c>
      <c r="B616" t="s">
        <v>2630</v>
      </c>
      <c r="C616" s="710" t="s">
        <v>88</v>
      </c>
      <c r="D616" s="710" t="s">
        <v>94</v>
      </c>
      <c r="E616" s="710"/>
      <c r="F616" s="3"/>
    </row>
    <row r="617" spans="1:6" ht="15" customHeight="1">
      <c r="A617" t="s">
        <v>2702</v>
      </c>
      <c r="B617" t="s">
        <v>2703</v>
      </c>
      <c r="C617" s="710" t="s">
        <v>88</v>
      </c>
      <c r="D617" s="710" t="s">
        <v>94</v>
      </c>
      <c r="E617" s="710"/>
      <c r="F617" s="3"/>
    </row>
    <row r="618" spans="1:6" ht="15" customHeight="1">
      <c r="A618" t="s">
        <v>2704</v>
      </c>
      <c r="B618" t="s">
        <v>2705</v>
      </c>
      <c r="C618" s="710" t="s">
        <v>88</v>
      </c>
      <c r="D618" s="710" t="s">
        <v>94</v>
      </c>
      <c r="E618" s="710"/>
      <c r="F618" s="3"/>
    </row>
    <row r="619" spans="1:6" ht="15" customHeight="1">
      <c r="A619" t="s">
        <v>2708</v>
      </c>
      <c r="B619" t="s">
        <v>2709</v>
      </c>
      <c r="C619" s="710" t="s">
        <v>88</v>
      </c>
      <c r="D619" s="710" t="s">
        <v>94</v>
      </c>
      <c r="E619" s="710"/>
      <c r="F619" s="3"/>
    </row>
    <row r="620" spans="1:6" ht="15" customHeight="1">
      <c r="A620" t="s">
        <v>2710</v>
      </c>
      <c r="B620" t="s">
        <v>2711</v>
      </c>
      <c r="C620" s="710" t="s">
        <v>88</v>
      </c>
      <c r="D620" s="710" t="s">
        <v>94</v>
      </c>
      <c r="E620" s="710"/>
      <c r="F620" s="3"/>
    </row>
    <row r="621" spans="1:6" ht="15" customHeight="1">
      <c r="A621" t="s">
        <v>2712</v>
      </c>
      <c r="B621" t="s">
        <v>2713</v>
      </c>
      <c r="C621" s="710" t="s">
        <v>88</v>
      </c>
      <c r="D621" s="710" t="s">
        <v>94</v>
      </c>
      <c r="E621" s="710"/>
      <c r="F621" s="3"/>
    </row>
    <row r="622" spans="1:6" ht="15" customHeight="1">
      <c r="A622" t="s">
        <v>2716</v>
      </c>
      <c r="B622" t="s">
        <v>2717</v>
      </c>
      <c r="C622" s="710" t="s">
        <v>88</v>
      </c>
      <c r="D622" s="710" t="s">
        <v>94</v>
      </c>
      <c r="E622" s="710"/>
      <c r="F622" s="3"/>
    </row>
    <row r="623" spans="1:6" ht="15" customHeight="1">
      <c r="A623" t="s">
        <v>2718</v>
      </c>
      <c r="B623" t="s">
        <v>2719</v>
      </c>
      <c r="C623" s="710" t="s">
        <v>88</v>
      </c>
      <c r="D623" s="710" t="s">
        <v>94</v>
      </c>
      <c r="E623" s="710"/>
      <c r="F623" s="3"/>
    </row>
    <row r="624" spans="1:6" ht="15" customHeight="1">
      <c r="A624" t="s">
        <v>2720</v>
      </c>
      <c r="B624" t="s">
        <v>2721</v>
      </c>
      <c r="C624" s="710" t="s">
        <v>88</v>
      </c>
      <c r="D624" s="710" t="s">
        <v>94</v>
      </c>
      <c r="E624" s="710"/>
      <c r="F624" s="3"/>
    </row>
    <row r="625" spans="1:6" ht="15" customHeight="1">
      <c r="A625" t="s">
        <v>2722</v>
      </c>
      <c r="B625" t="s">
        <v>2723</v>
      </c>
      <c r="C625" s="710" t="s">
        <v>88</v>
      </c>
      <c r="D625" s="710" t="s">
        <v>3127</v>
      </c>
      <c r="E625" s="710"/>
      <c r="F625" s="3"/>
    </row>
    <row r="626" spans="1:6" ht="15" customHeight="1">
      <c r="A626" t="s">
        <v>2724</v>
      </c>
      <c r="B626" t="s">
        <v>2725</v>
      </c>
      <c r="C626" s="710" t="s">
        <v>88</v>
      </c>
      <c r="D626" s="710" t="s">
        <v>94</v>
      </c>
      <c r="E626" s="710"/>
      <c r="F626" s="3"/>
    </row>
    <row r="627" spans="1:6" ht="15" customHeight="1">
      <c r="A627" t="s">
        <v>2728</v>
      </c>
      <c r="B627" t="s">
        <v>2729</v>
      </c>
      <c r="C627" s="710" t="s">
        <v>88</v>
      </c>
      <c r="D627" s="710" t="s">
        <v>94</v>
      </c>
      <c r="E627" s="710"/>
      <c r="F627" s="3"/>
    </row>
    <row r="628" spans="1:6" ht="15" customHeight="1">
      <c r="A628" t="s">
        <v>2730</v>
      </c>
      <c r="B628" t="s">
        <v>2731</v>
      </c>
      <c r="C628" s="710" t="s">
        <v>88</v>
      </c>
      <c r="D628" s="710" t="s">
        <v>94</v>
      </c>
      <c r="E628" s="710"/>
      <c r="F628" s="3"/>
    </row>
    <row r="629" spans="1:6" ht="15" customHeight="1">
      <c r="A629" t="s">
        <v>2732</v>
      </c>
      <c r="B629" t="s">
        <v>2733</v>
      </c>
      <c r="C629" s="710" t="s">
        <v>88</v>
      </c>
      <c r="D629" s="710" t="s">
        <v>3127</v>
      </c>
      <c r="E629" s="710"/>
      <c r="F629" s="3"/>
    </row>
    <row r="630" spans="1:6" ht="15" customHeight="1">
      <c r="A630" t="s">
        <v>2736</v>
      </c>
      <c r="B630" t="s">
        <v>2737</v>
      </c>
      <c r="C630" s="710" t="s">
        <v>88</v>
      </c>
      <c r="D630" s="710" t="s">
        <v>94</v>
      </c>
      <c r="E630" s="710"/>
      <c r="F630" s="3"/>
    </row>
    <row r="631" spans="1:6" ht="15" customHeight="1">
      <c r="A631" t="s">
        <v>2738</v>
      </c>
      <c r="B631" t="s">
        <v>2739</v>
      </c>
      <c r="C631" s="710" t="s">
        <v>88</v>
      </c>
      <c r="D631" s="710" t="s">
        <v>94</v>
      </c>
      <c r="E631" s="710"/>
      <c r="F631" s="3"/>
    </row>
    <row r="632" spans="1:6" ht="15" customHeight="1">
      <c r="A632" t="s">
        <v>2740</v>
      </c>
      <c r="B632" t="s">
        <v>2741</v>
      </c>
      <c r="C632" s="710" t="s">
        <v>88</v>
      </c>
      <c r="D632" s="710" t="s">
        <v>94</v>
      </c>
      <c r="E632" s="710"/>
      <c r="F632" s="3"/>
    </row>
    <row r="633" spans="1:6" ht="15" customHeight="1">
      <c r="A633" t="s">
        <v>2742</v>
      </c>
      <c r="B633" t="s">
        <v>2743</v>
      </c>
      <c r="C633" s="710" t="s">
        <v>88</v>
      </c>
      <c r="D633" s="710" t="s">
        <v>94</v>
      </c>
      <c r="E633" s="710"/>
      <c r="F633" s="3"/>
    </row>
    <row r="634" spans="1:6" ht="15" customHeight="1">
      <c r="A634" t="s">
        <v>2744</v>
      </c>
      <c r="B634" t="s">
        <v>2745</v>
      </c>
      <c r="C634" s="710" t="s">
        <v>88</v>
      </c>
      <c r="D634" s="710" t="s">
        <v>3127</v>
      </c>
      <c r="E634" s="710"/>
      <c r="F634" s="3"/>
    </row>
    <row r="635" spans="1:6" ht="15" customHeight="1">
      <c r="A635" t="s">
        <v>2748</v>
      </c>
      <c r="B635" t="s">
        <v>2749</v>
      </c>
      <c r="C635" s="710" t="s">
        <v>88</v>
      </c>
      <c r="D635" s="710" t="s">
        <v>94</v>
      </c>
      <c r="E635" s="710"/>
      <c r="F635" s="3"/>
    </row>
    <row r="636" spans="1:6" ht="15" customHeight="1">
      <c r="A636" t="s">
        <v>2750</v>
      </c>
      <c r="B636" t="s">
        <v>2751</v>
      </c>
      <c r="C636" s="710" t="s">
        <v>88</v>
      </c>
      <c r="D636" s="710" t="s">
        <v>3127</v>
      </c>
      <c r="E636" s="710"/>
      <c r="F636" s="3"/>
    </row>
    <row r="637" spans="1:6" ht="15" customHeight="1">
      <c r="A637" t="s">
        <v>2754</v>
      </c>
      <c r="B637" t="s">
        <v>2755</v>
      </c>
      <c r="C637" s="710" t="s">
        <v>88</v>
      </c>
      <c r="D637" s="710" t="s">
        <v>94</v>
      </c>
      <c r="E637" s="710"/>
      <c r="F637" s="3"/>
    </row>
    <row r="638" spans="1:6" ht="15" customHeight="1">
      <c r="A638" t="s">
        <v>2756</v>
      </c>
      <c r="B638" t="s">
        <v>2757</v>
      </c>
      <c r="C638" s="710" t="s">
        <v>88</v>
      </c>
      <c r="D638" s="710" t="s">
        <v>3127</v>
      </c>
      <c r="E638" s="710"/>
      <c r="F638" s="3"/>
    </row>
    <row r="639" spans="1:6" ht="15" customHeight="1">
      <c r="A639" t="s">
        <v>2760</v>
      </c>
      <c r="B639" t="s">
        <v>2761</v>
      </c>
      <c r="C639" s="710" t="s">
        <v>88</v>
      </c>
      <c r="D639" s="710" t="s">
        <v>94</v>
      </c>
      <c r="E639" s="710"/>
      <c r="F639" s="3"/>
    </row>
    <row r="640" spans="1:6" ht="15" customHeight="1">
      <c r="A640" t="s">
        <v>2762</v>
      </c>
      <c r="B640" t="s">
        <v>2763</v>
      </c>
      <c r="C640" s="710" t="s">
        <v>88</v>
      </c>
      <c r="D640" s="710" t="s">
        <v>94</v>
      </c>
      <c r="E640" s="710"/>
      <c r="F640" s="3"/>
    </row>
    <row r="641" spans="1:6" ht="15" customHeight="1">
      <c r="A641" t="s">
        <v>2768</v>
      </c>
      <c r="B641" t="s">
        <v>2769</v>
      </c>
      <c r="C641" s="710" t="s">
        <v>88</v>
      </c>
      <c r="D641" s="710" t="s">
        <v>99</v>
      </c>
      <c r="E641" s="710"/>
      <c r="F641" s="3"/>
    </row>
    <row r="642" spans="1:6" ht="15" customHeight="1">
      <c r="A642" t="s">
        <v>2770</v>
      </c>
      <c r="B642" t="s">
        <v>2771</v>
      </c>
      <c r="C642" s="710" t="s">
        <v>88</v>
      </c>
      <c r="D642" s="710" t="s">
        <v>99</v>
      </c>
      <c r="E642" s="710"/>
      <c r="F642" s="3"/>
    </row>
    <row r="643" spans="1:6" ht="15" customHeight="1">
      <c r="A643" t="s">
        <v>2772</v>
      </c>
      <c r="B643" t="s">
        <v>2773</v>
      </c>
      <c r="C643" s="710" t="s">
        <v>88</v>
      </c>
      <c r="D643" s="710" t="s">
        <v>102</v>
      </c>
      <c r="E643" s="710"/>
      <c r="F643" s="3"/>
    </row>
    <row r="644" spans="1:6" ht="15" customHeight="1">
      <c r="A644" t="s">
        <v>2774</v>
      </c>
      <c r="B644" t="s">
        <v>2775</v>
      </c>
      <c r="C644" s="710" t="s">
        <v>88</v>
      </c>
      <c r="D644" s="710" t="s">
        <v>102</v>
      </c>
      <c r="E644" s="710"/>
      <c r="F644" s="3"/>
    </row>
    <row r="645" spans="1:6" ht="15" customHeight="1">
      <c r="A645" t="s">
        <v>2776</v>
      </c>
      <c r="B645" t="s">
        <v>2777</v>
      </c>
      <c r="C645" s="710" t="s">
        <v>88</v>
      </c>
      <c r="D645" s="710" t="s">
        <v>103</v>
      </c>
      <c r="E645" s="710"/>
      <c r="F645" s="3"/>
    </row>
    <row r="646" spans="1:6" ht="15" customHeight="1">
      <c r="A646" t="s">
        <v>2778</v>
      </c>
      <c r="B646" t="s">
        <v>2386</v>
      </c>
      <c r="C646" s="710" t="s">
        <v>88</v>
      </c>
      <c r="D646" s="710" t="s">
        <v>103</v>
      </c>
      <c r="E646" s="710"/>
      <c r="F646" s="3"/>
    </row>
    <row r="647" spans="1:6" ht="15" customHeight="1">
      <c r="A647" t="s">
        <v>2779</v>
      </c>
      <c r="B647" t="s">
        <v>2780</v>
      </c>
      <c r="C647" s="710" t="s">
        <v>88</v>
      </c>
      <c r="D647" s="710" t="s">
        <v>102</v>
      </c>
      <c r="E647" s="710"/>
      <c r="F647" s="3"/>
    </row>
    <row r="648" spans="1:6" ht="15" customHeight="1">
      <c r="A648" t="s">
        <v>2781</v>
      </c>
      <c r="B648" t="s">
        <v>2782</v>
      </c>
      <c r="C648" s="710" t="s">
        <v>88</v>
      </c>
      <c r="D648" s="710" t="s">
        <v>103</v>
      </c>
      <c r="E648" s="710"/>
      <c r="F648" s="3"/>
    </row>
    <row r="649" spans="1:6" ht="15" customHeight="1">
      <c r="A649" t="s">
        <v>2783</v>
      </c>
      <c r="B649" t="s">
        <v>2784</v>
      </c>
      <c r="C649" s="710" t="s">
        <v>148</v>
      </c>
      <c r="D649" s="710" t="s">
        <v>149</v>
      </c>
      <c r="E649" s="710"/>
      <c r="F649" s="3"/>
    </row>
    <row r="650" spans="1:6" ht="15" customHeight="1">
      <c r="A650" t="s">
        <v>2785</v>
      </c>
      <c r="B650" t="s">
        <v>2786</v>
      </c>
      <c r="C650" s="710" t="s">
        <v>148</v>
      </c>
      <c r="D650" s="710" t="s">
        <v>150</v>
      </c>
      <c r="E650" s="710"/>
      <c r="F650" s="3"/>
    </row>
    <row r="651" spans="1:6" ht="15" customHeight="1">
      <c r="A651" t="s">
        <v>2787</v>
      </c>
      <c r="B651" t="s">
        <v>2788</v>
      </c>
      <c r="C651" s="710" t="s">
        <v>148</v>
      </c>
      <c r="D651" s="710" t="s">
        <v>149</v>
      </c>
      <c r="E651" s="710"/>
      <c r="F651" s="3"/>
    </row>
    <row r="652" spans="1:6" ht="15" customHeight="1">
      <c r="A652" t="s">
        <v>2789</v>
      </c>
      <c r="B652" t="s">
        <v>2790</v>
      </c>
      <c r="C652" s="710"/>
      <c r="D652" s="710"/>
      <c r="E652" s="710"/>
      <c r="F652" s="3"/>
    </row>
    <row r="653" spans="1:6" ht="15" customHeight="1">
      <c r="A653" t="s">
        <v>2791</v>
      </c>
      <c r="B653" t="s">
        <v>2792</v>
      </c>
      <c r="C653" s="710"/>
      <c r="D653" s="710"/>
      <c r="E653" s="710"/>
      <c r="F653" s="3"/>
    </row>
    <row r="654" spans="1:6" ht="15" customHeight="1">
      <c r="A654" t="s">
        <v>2793</v>
      </c>
      <c r="B654" t="s">
        <v>2794</v>
      </c>
      <c r="C654" s="710"/>
      <c r="D654" s="710"/>
      <c r="E654" s="710"/>
      <c r="F654" s="3"/>
    </row>
    <row r="655" spans="1:6" ht="15" customHeight="1">
      <c r="A655" t="s">
        <v>2795</v>
      </c>
      <c r="B655" t="s">
        <v>2796</v>
      </c>
      <c r="C655" s="710" t="s">
        <v>148</v>
      </c>
      <c r="D655" s="710" t="s">
        <v>152</v>
      </c>
      <c r="E655" s="710"/>
      <c r="F655" s="3"/>
    </row>
    <row r="656" spans="1:6" ht="15" customHeight="1">
      <c r="A656" t="s">
        <v>2797</v>
      </c>
      <c r="B656" t="s">
        <v>2798</v>
      </c>
      <c r="C656" s="710"/>
      <c r="D656" s="710"/>
      <c r="E656" s="710"/>
      <c r="F656" s="3"/>
    </row>
    <row r="657" spans="1:6" ht="15" customHeight="1">
      <c r="A657" s="937" t="s">
        <v>2799</v>
      </c>
      <c r="B657" s="937" t="s">
        <v>2800</v>
      </c>
      <c r="C657" s="940" t="s">
        <v>148</v>
      </c>
      <c r="D657" s="940" t="s">
        <v>152</v>
      </c>
      <c r="E657" s="940" t="s">
        <v>3125</v>
      </c>
      <c r="F657" s="3" t="s">
        <v>3126</v>
      </c>
    </row>
    <row r="658" spans="1:6" ht="15" customHeight="1">
      <c r="A658" t="s">
        <v>2801</v>
      </c>
      <c r="B658" t="s">
        <v>2802</v>
      </c>
      <c r="C658" s="710" t="s">
        <v>148</v>
      </c>
      <c r="D658" s="710" t="s">
        <v>150</v>
      </c>
      <c r="E658" s="710"/>
      <c r="F658" s="3"/>
    </row>
    <row r="659" spans="1:6" ht="15" customHeight="1">
      <c r="A659" t="s">
        <v>2805</v>
      </c>
      <c r="B659" t="s">
        <v>2806</v>
      </c>
      <c r="C659" s="710"/>
      <c r="D659" s="710"/>
      <c r="E659" s="710"/>
      <c r="F659" s="3"/>
    </row>
    <row r="660" spans="1:6" ht="15" customHeight="1">
      <c r="A660" t="s">
        <v>2807</v>
      </c>
      <c r="B660" t="s">
        <v>2808</v>
      </c>
      <c r="C660" s="710"/>
      <c r="D660" s="710"/>
      <c r="E660" s="710"/>
      <c r="F660" s="3"/>
    </row>
    <row r="661" spans="1:6" ht="15" customHeight="1">
      <c r="A661" t="s">
        <v>2809</v>
      </c>
      <c r="B661" t="s">
        <v>2810</v>
      </c>
      <c r="C661" s="710"/>
      <c r="D661" s="710"/>
      <c r="E661" s="710"/>
      <c r="F661" s="3"/>
    </row>
    <row r="662" spans="1:6" ht="15" customHeight="1">
      <c r="A662" t="s">
        <v>2811</v>
      </c>
      <c r="B662" t="s">
        <v>2812</v>
      </c>
      <c r="C662" s="710" t="s">
        <v>148</v>
      </c>
      <c r="D662" s="710" t="s">
        <v>152</v>
      </c>
      <c r="E662" s="710"/>
      <c r="F662" s="3"/>
    </row>
    <row r="663" spans="1:6" ht="15" customHeight="1">
      <c r="A663" t="s">
        <v>2813</v>
      </c>
      <c r="B663" t="s">
        <v>2814</v>
      </c>
      <c r="C663" s="710" t="s">
        <v>1162</v>
      </c>
      <c r="D663" s="710" t="s">
        <v>1166</v>
      </c>
      <c r="E663" s="710"/>
      <c r="F663" s="3"/>
    </row>
    <row r="664" spans="1:6" ht="15" customHeight="1">
      <c r="A664" t="s">
        <v>2815</v>
      </c>
      <c r="B664" t="s">
        <v>2816</v>
      </c>
      <c r="C664" s="710" t="s">
        <v>176</v>
      </c>
      <c r="D664" s="710" t="s">
        <v>185</v>
      </c>
      <c r="E664" s="710"/>
      <c r="F664" s="3"/>
    </row>
    <row r="665" spans="1:6" ht="15" customHeight="1">
      <c r="A665" t="s">
        <v>2817</v>
      </c>
      <c r="B665" t="s">
        <v>2818</v>
      </c>
      <c r="C665" s="710" t="s">
        <v>148</v>
      </c>
      <c r="D665" s="710" t="s">
        <v>102</v>
      </c>
      <c r="E665" s="710"/>
      <c r="F665" s="3"/>
    </row>
    <row r="666" spans="1:6" ht="15" customHeight="1">
      <c r="A666" t="s">
        <v>2819</v>
      </c>
      <c r="B666" s="706" t="s">
        <v>2820</v>
      </c>
      <c r="C666" s="710" t="s">
        <v>148</v>
      </c>
      <c r="D666" s="710" t="s">
        <v>102</v>
      </c>
      <c r="E666" s="710"/>
      <c r="F666" s="3"/>
    </row>
    <row r="667" spans="1:6" ht="15" customHeight="1">
      <c r="A667" t="s">
        <v>2821</v>
      </c>
      <c r="B667" t="s">
        <v>2822</v>
      </c>
      <c r="C667" s="710" t="s">
        <v>148</v>
      </c>
      <c r="D667" s="710" t="s">
        <v>102</v>
      </c>
      <c r="E667" s="710"/>
      <c r="F667" s="3"/>
    </row>
    <row r="668" spans="1:6" ht="15" customHeight="1">
      <c r="A668" s="943" t="s">
        <v>2823</v>
      </c>
      <c r="B668" s="943" t="s">
        <v>2824</v>
      </c>
      <c r="C668" s="710" t="s">
        <v>1162</v>
      </c>
      <c r="D668" s="710" t="s">
        <v>1164</v>
      </c>
      <c r="E668" s="710"/>
      <c r="F668" s="3"/>
    </row>
    <row r="669" spans="1:6" ht="15" customHeight="1">
      <c r="A669" s="943" t="s">
        <v>2825</v>
      </c>
      <c r="B669" s="943" t="s">
        <v>2826</v>
      </c>
      <c r="C669" s="710" t="s">
        <v>1162</v>
      </c>
      <c r="D669" s="710" t="s">
        <v>1164</v>
      </c>
      <c r="E669" s="710"/>
      <c r="F669" s="3"/>
    </row>
    <row r="670" spans="1:6" ht="15" customHeight="1">
      <c r="A670" t="s">
        <v>2827</v>
      </c>
      <c r="B670" t="s">
        <v>2828</v>
      </c>
      <c r="C670" s="710" t="s">
        <v>1162</v>
      </c>
      <c r="D670" s="710" t="s">
        <v>1164</v>
      </c>
      <c r="E670" s="710"/>
      <c r="F670" s="3"/>
    </row>
    <row r="671" spans="1:6" ht="15" customHeight="1">
      <c r="A671" t="s">
        <v>2829</v>
      </c>
      <c r="B671" t="s">
        <v>2830</v>
      </c>
      <c r="C671" s="710"/>
      <c r="D671" s="710"/>
      <c r="E671" s="710"/>
      <c r="F671" s="3"/>
    </row>
    <row r="672" spans="1:6" ht="15" customHeight="1">
      <c r="A672" t="s">
        <v>2831</v>
      </c>
      <c r="B672" t="s">
        <v>2832</v>
      </c>
      <c r="C672" s="710" t="s">
        <v>1162</v>
      </c>
      <c r="D672" s="710" t="s">
        <v>1165</v>
      </c>
      <c r="E672" s="710"/>
      <c r="F672" s="3"/>
    </row>
    <row r="673" spans="1:6" ht="15" customHeight="1">
      <c r="A673" t="s">
        <v>2833</v>
      </c>
      <c r="B673" t="s">
        <v>2834</v>
      </c>
      <c r="C673" s="710" t="s">
        <v>157</v>
      </c>
      <c r="D673" s="710" t="s">
        <v>160</v>
      </c>
      <c r="E673" s="710"/>
      <c r="F673" s="3"/>
    </row>
    <row r="674" spans="1:6" ht="15" customHeight="1">
      <c r="A674" t="s">
        <v>2835</v>
      </c>
      <c r="B674" t="s">
        <v>2836</v>
      </c>
      <c r="C674" s="710" t="s">
        <v>157</v>
      </c>
      <c r="D674" s="710" t="s">
        <v>162</v>
      </c>
      <c r="E674" s="710"/>
      <c r="F674" s="3"/>
    </row>
    <row r="675" spans="1:6" ht="15" customHeight="1">
      <c r="A675" s="937" t="s">
        <v>2839</v>
      </c>
      <c r="B675" s="937" t="s">
        <v>2840</v>
      </c>
      <c r="C675" s="940" t="s">
        <v>157</v>
      </c>
      <c r="D675" s="940" t="s">
        <v>160</v>
      </c>
      <c r="E675" s="940"/>
      <c r="F675" s="3"/>
    </row>
    <row r="676" spans="1:6" ht="15" customHeight="1">
      <c r="A676" t="s">
        <v>2841</v>
      </c>
      <c r="B676" t="s">
        <v>2842</v>
      </c>
      <c r="C676" s="710" t="s">
        <v>1161</v>
      </c>
      <c r="D676" s="710" t="s">
        <v>1170</v>
      </c>
      <c r="E676" s="710"/>
      <c r="F676" s="3"/>
    </row>
    <row r="677" spans="1:6" ht="15" customHeight="1">
      <c r="A677" t="s">
        <v>2843</v>
      </c>
      <c r="B677" t="s">
        <v>2844</v>
      </c>
      <c r="C677" s="710" t="s">
        <v>1161</v>
      </c>
      <c r="D677" s="710" t="s">
        <v>1168</v>
      </c>
      <c r="E677" s="710"/>
      <c r="F677" s="3"/>
    </row>
    <row r="678" spans="1:6" ht="15" customHeight="1">
      <c r="A678" t="s">
        <v>2845</v>
      </c>
      <c r="B678" t="s">
        <v>2846</v>
      </c>
      <c r="C678" s="710" t="s">
        <v>1161</v>
      </c>
      <c r="D678" s="710" t="s">
        <v>1169</v>
      </c>
      <c r="E678" s="710"/>
      <c r="F678" s="3"/>
    </row>
    <row r="679" spans="1:6" ht="15" customHeight="1">
      <c r="A679" t="s">
        <v>2847</v>
      </c>
      <c r="B679" t="s">
        <v>2848</v>
      </c>
      <c r="C679" s="710" t="s">
        <v>157</v>
      </c>
      <c r="D679" s="710" t="s">
        <v>162</v>
      </c>
      <c r="E679" s="710"/>
      <c r="F679" s="3"/>
    </row>
    <row r="680" spans="1:6" ht="15" customHeight="1">
      <c r="A680" t="s">
        <v>2849</v>
      </c>
      <c r="B680" t="s">
        <v>2850</v>
      </c>
      <c r="C680" s="710" t="s">
        <v>157</v>
      </c>
      <c r="D680" s="710" t="s">
        <v>163</v>
      </c>
      <c r="E680" s="710"/>
      <c r="F680" s="3"/>
    </row>
    <row r="681" spans="1:6" ht="15" customHeight="1">
      <c r="A681" t="s">
        <v>2851</v>
      </c>
      <c r="B681" t="s">
        <v>2852</v>
      </c>
      <c r="C681" s="710" t="s">
        <v>1161</v>
      </c>
      <c r="D681" s="710" t="s">
        <v>1168</v>
      </c>
      <c r="E681" s="710"/>
      <c r="F681" s="3"/>
    </row>
    <row r="682" spans="1:6" ht="15" customHeight="1">
      <c r="A682" t="s">
        <v>2853</v>
      </c>
      <c r="B682" t="s">
        <v>2854</v>
      </c>
      <c r="C682" s="710" t="s">
        <v>157</v>
      </c>
      <c r="D682" s="710" t="s">
        <v>163</v>
      </c>
      <c r="E682" s="710"/>
      <c r="F682" s="3"/>
    </row>
    <row r="683" spans="1:6" ht="15" customHeight="1">
      <c r="A683" t="s">
        <v>2857</v>
      </c>
      <c r="B683" t="s">
        <v>2858</v>
      </c>
      <c r="C683" s="710" t="s">
        <v>157</v>
      </c>
      <c r="D683" s="710" t="s">
        <v>165</v>
      </c>
      <c r="E683" s="710"/>
      <c r="F683" s="3"/>
    </row>
    <row r="684" spans="1:6" ht="15" customHeight="1">
      <c r="A684" t="s">
        <v>2859</v>
      </c>
      <c r="B684" t="s">
        <v>2860</v>
      </c>
      <c r="C684" s="710" t="s">
        <v>157</v>
      </c>
      <c r="D684" s="710" t="s">
        <v>168</v>
      </c>
      <c r="E684" s="710"/>
      <c r="F684" s="3"/>
    </row>
    <row r="685" spans="1:6" ht="15" customHeight="1">
      <c r="A685" t="s">
        <v>2861</v>
      </c>
      <c r="B685" t="s">
        <v>3134</v>
      </c>
      <c r="C685" s="710" t="s">
        <v>1161</v>
      </c>
      <c r="D685" s="710" t="s">
        <v>1168</v>
      </c>
      <c r="E685" s="710"/>
      <c r="F685" s="3"/>
    </row>
    <row r="686" spans="1:6" ht="15" customHeight="1">
      <c r="A686" t="s">
        <v>2865</v>
      </c>
      <c r="B686" t="s">
        <v>2866</v>
      </c>
      <c r="C686" s="710" t="s">
        <v>176</v>
      </c>
      <c r="D686" s="710" t="s">
        <v>178</v>
      </c>
      <c r="E686" s="710"/>
      <c r="F686" s="3"/>
    </row>
    <row r="687" spans="1:6" ht="15" customHeight="1">
      <c r="A687" t="s">
        <v>2867</v>
      </c>
      <c r="B687" t="s">
        <v>2868</v>
      </c>
      <c r="C687" s="710" t="s">
        <v>176</v>
      </c>
      <c r="D687" s="710" t="s">
        <v>178</v>
      </c>
      <c r="E687" s="710"/>
      <c r="F687" s="3"/>
    </row>
    <row r="688" spans="1:6" ht="15" customHeight="1">
      <c r="A688" t="s">
        <v>2869</v>
      </c>
      <c r="B688" t="s">
        <v>2870</v>
      </c>
      <c r="C688" s="710"/>
      <c r="D688" s="710"/>
      <c r="E688" s="710"/>
      <c r="F688" s="3"/>
    </row>
    <row r="689" spans="1:6" ht="15" customHeight="1">
      <c r="A689" t="s">
        <v>2871</v>
      </c>
      <c r="B689" t="s">
        <v>2872</v>
      </c>
      <c r="C689" s="710"/>
      <c r="D689" s="710"/>
      <c r="E689" s="710"/>
      <c r="F689" s="3"/>
    </row>
    <row r="690" spans="1:6" ht="15" customHeight="1">
      <c r="A690" t="s">
        <v>2873</v>
      </c>
      <c r="B690" t="s">
        <v>2874</v>
      </c>
      <c r="C690" s="710"/>
      <c r="D690" s="710"/>
      <c r="E690" s="710"/>
      <c r="F690" s="3"/>
    </row>
    <row r="691" spans="1:6" ht="15" customHeight="1">
      <c r="A691" t="s">
        <v>2877</v>
      </c>
      <c r="B691" t="s">
        <v>2878</v>
      </c>
      <c r="C691" s="710" t="s">
        <v>157</v>
      </c>
      <c r="D691" s="710" t="s">
        <v>168</v>
      </c>
      <c r="E691" s="710"/>
      <c r="F691" s="3"/>
    </row>
    <row r="692" spans="1:6" ht="15" customHeight="1">
      <c r="A692" t="s">
        <v>2879</v>
      </c>
      <c r="B692" t="s">
        <v>2880</v>
      </c>
      <c r="C692" s="710" t="s">
        <v>172</v>
      </c>
      <c r="D692" s="710" t="s">
        <v>1173</v>
      </c>
      <c r="E692" s="710"/>
      <c r="F692" s="3"/>
    </row>
    <row r="693" spans="1:6" ht="15" customHeight="1">
      <c r="A693" t="s">
        <v>2881</v>
      </c>
      <c r="B693" t="s">
        <v>2882</v>
      </c>
      <c r="C693" s="710" t="s">
        <v>172</v>
      </c>
      <c r="D693" s="710" t="s">
        <v>1172</v>
      </c>
      <c r="E693" s="710"/>
      <c r="F693" s="3"/>
    </row>
    <row r="694" spans="1:6" ht="15" customHeight="1">
      <c r="A694" t="s">
        <v>2883</v>
      </c>
      <c r="B694" t="s">
        <v>2884</v>
      </c>
      <c r="C694" s="710" t="s">
        <v>172</v>
      </c>
      <c r="D694" s="710" t="s">
        <v>1173</v>
      </c>
      <c r="E694" s="710"/>
      <c r="F694" s="3"/>
    </row>
    <row r="695" spans="1:6" ht="15" customHeight="1">
      <c r="A695" t="s">
        <v>2885</v>
      </c>
      <c r="B695" t="s">
        <v>2886</v>
      </c>
      <c r="C695" s="710" t="s">
        <v>172</v>
      </c>
      <c r="D695" s="710" t="s">
        <v>1172</v>
      </c>
      <c r="E695" s="710"/>
      <c r="F695" s="3"/>
    </row>
    <row r="696" spans="1:6" ht="15" customHeight="1">
      <c r="A696" t="s">
        <v>2887</v>
      </c>
      <c r="B696" t="s">
        <v>2888</v>
      </c>
      <c r="C696" s="710" t="s">
        <v>172</v>
      </c>
      <c r="D696" s="710" t="s">
        <v>1173</v>
      </c>
      <c r="E696" s="710"/>
      <c r="F696" s="3"/>
    </row>
    <row r="697" spans="1:6" ht="15" customHeight="1">
      <c r="A697" t="s">
        <v>2889</v>
      </c>
      <c r="B697" t="s">
        <v>2890</v>
      </c>
      <c r="C697" s="710" t="s">
        <v>172</v>
      </c>
      <c r="D697" s="710" t="s">
        <v>1172</v>
      </c>
      <c r="E697" s="710"/>
      <c r="F697" s="3"/>
    </row>
    <row r="698" spans="1:6" ht="15" customHeight="1">
      <c r="A698" t="s">
        <v>2891</v>
      </c>
      <c r="B698" t="s">
        <v>2892</v>
      </c>
      <c r="C698" s="710" t="s">
        <v>172</v>
      </c>
      <c r="D698" s="710" t="s">
        <v>1172</v>
      </c>
      <c r="E698" s="710"/>
      <c r="F698" s="3"/>
    </row>
    <row r="699" spans="1:6" ht="15" customHeight="1">
      <c r="A699" t="s">
        <v>2893</v>
      </c>
      <c r="B699" t="s">
        <v>2894</v>
      </c>
      <c r="C699" s="710" t="s">
        <v>172</v>
      </c>
      <c r="D699" s="710" t="s">
        <v>1171</v>
      </c>
      <c r="E699" s="710"/>
      <c r="F699" s="3"/>
    </row>
    <row r="700" spans="1:6" ht="15" customHeight="1">
      <c r="A700" t="s">
        <v>2895</v>
      </c>
      <c r="B700" t="s">
        <v>2896</v>
      </c>
      <c r="C700" s="710" t="s">
        <v>172</v>
      </c>
      <c r="D700" s="710" t="s">
        <v>1171</v>
      </c>
      <c r="E700" s="710"/>
      <c r="F700" s="3"/>
    </row>
    <row r="701" spans="1:6" ht="15" customHeight="1">
      <c r="A701" t="s">
        <v>2897</v>
      </c>
      <c r="B701" t="s">
        <v>2898</v>
      </c>
      <c r="C701" s="710" t="s">
        <v>172</v>
      </c>
      <c r="D701" s="710" t="s">
        <v>1171</v>
      </c>
      <c r="E701" s="710"/>
      <c r="F701" s="3"/>
    </row>
    <row r="702" spans="1:6" ht="15" customHeight="1">
      <c r="A702" t="s">
        <v>2899</v>
      </c>
      <c r="B702" t="s">
        <v>2900</v>
      </c>
      <c r="C702" s="710" t="s">
        <v>172</v>
      </c>
      <c r="D702" s="710" t="s">
        <v>1171</v>
      </c>
      <c r="E702" s="710"/>
      <c r="F702" s="3"/>
    </row>
    <row r="703" spans="1:6" ht="15" customHeight="1">
      <c r="A703" t="s">
        <v>2901</v>
      </c>
      <c r="B703" t="s">
        <v>2902</v>
      </c>
      <c r="C703" s="710" t="s">
        <v>172</v>
      </c>
      <c r="D703" s="710" t="s">
        <v>1174</v>
      </c>
      <c r="E703" s="710"/>
      <c r="F703" s="3"/>
    </row>
    <row r="704" spans="1:6" ht="15" customHeight="1">
      <c r="A704" t="s">
        <v>2903</v>
      </c>
      <c r="B704" t="s">
        <v>2904</v>
      </c>
      <c r="C704" s="710" t="s">
        <v>172</v>
      </c>
      <c r="D704" s="710" t="s">
        <v>1173</v>
      </c>
      <c r="E704" s="710"/>
      <c r="F704" s="3"/>
    </row>
    <row r="705" spans="1:6" ht="15" customHeight="1">
      <c r="A705" t="s">
        <v>2905</v>
      </c>
      <c r="B705" t="s">
        <v>2906</v>
      </c>
      <c r="C705" s="710" t="s">
        <v>172</v>
      </c>
      <c r="D705" s="710" t="s">
        <v>1171</v>
      </c>
      <c r="E705" s="710"/>
      <c r="F705" s="3"/>
    </row>
    <row r="706" spans="1:6" ht="15" customHeight="1">
      <c r="A706" t="s">
        <v>2907</v>
      </c>
      <c r="B706" t="s">
        <v>2908</v>
      </c>
      <c r="C706" s="710" t="s">
        <v>172</v>
      </c>
      <c r="D706" s="710" t="s">
        <v>1172</v>
      </c>
      <c r="E706" s="710"/>
      <c r="F706" s="3"/>
    </row>
    <row r="707" spans="1:6" ht="15" customHeight="1">
      <c r="A707" t="s">
        <v>2909</v>
      </c>
      <c r="B707" t="s">
        <v>2910</v>
      </c>
      <c r="C707" s="710" t="s">
        <v>172</v>
      </c>
      <c r="D707" s="710" t="s">
        <v>1173</v>
      </c>
      <c r="E707" s="710"/>
      <c r="F707" s="3"/>
    </row>
    <row r="708" spans="1:6" ht="15" customHeight="1">
      <c r="A708" t="s">
        <v>2911</v>
      </c>
      <c r="B708" t="s">
        <v>2912</v>
      </c>
      <c r="C708" s="710" t="s">
        <v>172</v>
      </c>
      <c r="D708" s="710" t="s">
        <v>1171</v>
      </c>
      <c r="E708" s="710"/>
      <c r="F708" s="3"/>
    </row>
    <row r="709" spans="1:6" ht="15" customHeight="1">
      <c r="A709" t="s">
        <v>2913</v>
      </c>
      <c r="B709" t="s">
        <v>2914</v>
      </c>
      <c r="C709" s="710" t="s">
        <v>172</v>
      </c>
      <c r="D709" s="710" t="s">
        <v>1172</v>
      </c>
      <c r="E709" s="710"/>
      <c r="F709" s="3"/>
    </row>
    <row r="710" spans="1:6" ht="15" customHeight="1">
      <c r="A710" t="s">
        <v>2915</v>
      </c>
      <c r="B710" t="s">
        <v>2916</v>
      </c>
      <c r="C710" s="710"/>
      <c r="D710" s="710"/>
      <c r="E710" s="710"/>
      <c r="F710" s="3"/>
    </row>
    <row r="711" spans="1:6" ht="15" customHeight="1">
      <c r="A711" t="s">
        <v>2917</v>
      </c>
      <c r="B711" t="s">
        <v>2918</v>
      </c>
      <c r="C711" s="710"/>
      <c r="D711" s="710"/>
      <c r="E711" s="710"/>
      <c r="F711" s="3"/>
    </row>
    <row r="712" spans="1:6" ht="15" customHeight="1">
      <c r="A712" t="s">
        <v>2919</v>
      </c>
      <c r="B712" t="s">
        <v>2920</v>
      </c>
      <c r="C712" s="710"/>
      <c r="D712" s="710"/>
      <c r="E712" s="710"/>
      <c r="F712" s="3"/>
    </row>
    <row r="713" spans="1:6" ht="15" customHeight="1">
      <c r="A713" t="s">
        <v>2921</v>
      </c>
      <c r="B713" t="s">
        <v>2922</v>
      </c>
      <c r="C713" s="710" t="s">
        <v>176</v>
      </c>
      <c r="D713" s="710" t="s">
        <v>179</v>
      </c>
      <c r="E713" s="710"/>
      <c r="F713" s="3"/>
    </row>
    <row r="714" spans="1:6" ht="15" customHeight="1">
      <c r="A714" t="s">
        <v>2923</v>
      </c>
      <c r="B714" t="s">
        <v>2924</v>
      </c>
      <c r="C714" s="710"/>
      <c r="D714" s="710"/>
      <c r="E714" s="710"/>
      <c r="F714" s="3"/>
    </row>
    <row r="715" spans="1:6" ht="15" customHeight="1">
      <c r="A715" t="s">
        <v>2927</v>
      </c>
      <c r="B715" t="s">
        <v>2928</v>
      </c>
      <c r="C715" s="710" t="s">
        <v>172</v>
      </c>
      <c r="D715" s="710" t="s">
        <v>1173</v>
      </c>
      <c r="E715" s="710"/>
      <c r="F715" s="3"/>
    </row>
    <row r="716" spans="1:6" ht="15" customHeight="1">
      <c r="A716" t="s">
        <v>2929</v>
      </c>
      <c r="B716" t="s">
        <v>2930</v>
      </c>
      <c r="C716" s="710" t="s">
        <v>172</v>
      </c>
      <c r="D716" s="710" t="s">
        <v>1171</v>
      </c>
      <c r="E716" s="710"/>
      <c r="F716" s="3"/>
    </row>
    <row r="717" spans="1:6" ht="15" customHeight="1">
      <c r="A717" t="s">
        <v>2931</v>
      </c>
      <c r="B717" t="s">
        <v>2932</v>
      </c>
      <c r="C717" s="710" t="s">
        <v>172</v>
      </c>
      <c r="D717" s="710" t="s">
        <v>1172</v>
      </c>
      <c r="E717" s="710"/>
      <c r="F717" s="3"/>
    </row>
    <row r="718" spans="1:6" ht="15" customHeight="1">
      <c r="A718" t="s">
        <v>2933</v>
      </c>
      <c r="B718" t="s">
        <v>2934</v>
      </c>
      <c r="C718" s="710" t="s">
        <v>172</v>
      </c>
      <c r="D718" s="710" t="s">
        <v>1173</v>
      </c>
      <c r="E718" s="710"/>
      <c r="F718" s="3"/>
    </row>
    <row r="719" spans="1:6" ht="15" customHeight="1">
      <c r="A719" t="s">
        <v>2935</v>
      </c>
      <c r="B719" t="s">
        <v>2936</v>
      </c>
      <c r="C719" s="710" t="s">
        <v>172</v>
      </c>
      <c r="D719" s="710" t="s">
        <v>1171</v>
      </c>
      <c r="E719" s="710"/>
      <c r="F719" s="3"/>
    </row>
    <row r="720" spans="1:6" ht="15" customHeight="1">
      <c r="A720" t="s">
        <v>2937</v>
      </c>
      <c r="B720" t="s">
        <v>2938</v>
      </c>
      <c r="C720" s="710" t="s">
        <v>172</v>
      </c>
      <c r="D720" s="710" t="s">
        <v>1172</v>
      </c>
      <c r="E720" s="710"/>
      <c r="F720" s="3"/>
    </row>
    <row r="721" spans="1:6" ht="15" customHeight="1">
      <c r="A721" t="s">
        <v>2939</v>
      </c>
      <c r="B721" t="s">
        <v>2940</v>
      </c>
      <c r="C721" s="710" t="s">
        <v>176</v>
      </c>
      <c r="D721" s="710" t="s">
        <v>180</v>
      </c>
      <c r="E721" s="710"/>
      <c r="F721" s="3"/>
    </row>
    <row r="722" spans="1:6" ht="15" customHeight="1">
      <c r="A722" t="s">
        <v>2941</v>
      </c>
      <c r="B722" t="s">
        <v>2942</v>
      </c>
      <c r="C722" s="710" t="s">
        <v>176</v>
      </c>
      <c r="D722" s="710" t="s">
        <v>180</v>
      </c>
      <c r="E722" s="710"/>
      <c r="F722" s="3"/>
    </row>
    <row r="723" spans="1:6" ht="15" customHeight="1">
      <c r="A723" t="s">
        <v>2943</v>
      </c>
      <c r="B723" t="s">
        <v>2944</v>
      </c>
      <c r="C723" s="710" t="s">
        <v>176</v>
      </c>
      <c r="D723" s="710" t="s">
        <v>181</v>
      </c>
      <c r="E723" s="710"/>
      <c r="F723" s="3"/>
    </row>
    <row r="724" spans="1:6" ht="15" customHeight="1">
      <c r="A724" t="s">
        <v>2945</v>
      </c>
      <c r="B724" t="s">
        <v>2946</v>
      </c>
      <c r="C724" s="710" t="s">
        <v>176</v>
      </c>
      <c r="D724" s="710" t="s">
        <v>181</v>
      </c>
      <c r="E724" s="710"/>
      <c r="F724" s="3"/>
    </row>
    <row r="725" spans="1:6" ht="15" customHeight="1">
      <c r="A725" t="s">
        <v>2947</v>
      </c>
      <c r="B725" t="s">
        <v>2948</v>
      </c>
      <c r="C725" s="710" t="s">
        <v>176</v>
      </c>
      <c r="D725" s="710" t="s">
        <v>182</v>
      </c>
      <c r="E725" s="710"/>
      <c r="F725" s="3"/>
    </row>
    <row r="726" spans="1:6" ht="15" customHeight="1">
      <c r="A726" t="s">
        <v>2949</v>
      </c>
      <c r="B726" t="s">
        <v>2950</v>
      </c>
      <c r="C726" s="710" t="s">
        <v>176</v>
      </c>
      <c r="D726" s="710" t="s">
        <v>183</v>
      </c>
      <c r="E726" s="710"/>
      <c r="F726" s="3"/>
    </row>
    <row r="727" spans="1:6" ht="15" customHeight="1">
      <c r="A727" t="s">
        <v>2951</v>
      </c>
      <c r="B727" t="s">
        <v>2952</v>
      </c>
      <c r="C727" s="710" t="s">
        <v>176</v>
      </c>
      <c r="D727" s="710" t="s">
        <v>184</v>
      </c>
      <c r="E727" s="710"/>
      <c r="F727" s="3"/>
    </row>
    <row r="728" spans="1:6" ht="15" customHeight="1">
      <c r="A728" t="s">
        <v>2953</v>
      </c>
      <c r="B728" t="s">
        <v>2954</v>
      </c>
      <c r="C728" s="710" t="s">
        <v>176</v>
      </c>
      <c r="D728" s="710" t="s">
        <v>185</v>
      </c>
      <c r="E728" s="710"/>
      <c r="F728" s="3"/>
    </row>
    <row r="729" spans="1:6" ht="15" customHeight="1">
      <c r="A729" t="s">
        <v>2955</v>
      </c>
      <c r="B729" t="s">
        <v>2956</v>
      </c>
      <c r="C729" s="710" t="s">
        <v>176</v>
      </c>
      <c r="D729" s="710" t="s">
        <v>187</v>
      </c>
      <c r="E729" s="710"/>
      <c r="F729" s="3"/>
    </row>
    <row r="730" spans="1:6" ht="15" customHeight="1">
      <c r="A730" t="s">
        <v>2957</v>
      </c>
      <c r="B730" t="s">
        <v>2958</v>
      </c>
      <c r="C730" s="710" t="s">
        <v>176</v>
      </c>
      <c r="D730" s="710" t="s">
        <v>188</v>
      </c>
      <c r="E730" s="710"/>
      <c r="F730" s="3"/>
    </row>
    <row r="731" spans="1:6" ht="15" customHeight="1">
      <c r="A731" t="s">
        <v>2993</v>
      </c>
      <c r="B731" t="s">
        <v>2994</v>
      </c>
      <c r="C731" s="710"/>
      <c r="D731" s="710"/>
      <c r="E731" s="710"/>
      <c r="F731" s="3"/>
    </row>
    <row r="732" spans="1:6" ht="15" customHeight="1">
      <c r="A732" t="s">
        <v>2997</v>
      </c>
      <c r="B732" t="s">
        <v>2998</v>
      </c>
      <c r="C732" s="710"/>
      <c r="D732" s="710"/>
      <c r="E732" s="710"/>
      <c r="F732" s="3"/>
    </row>
    <row r="733" spans="1:6" ht="15" customHeight="1">
      <c r="A733" t="s">
        <v>3001</v>
      </c>
      <c r="B733" t="s">
        <v>3002</v>
      </c>
      <c r="C733" s="710"/>
      <c r="D733" s="710"/>
      <c r="E733" s="710"/>
      <c r="F733" s="3"/>
    </row>
    <row r="734" spans="1:6" ht="15" customHeight="1">
      <c r="A734" t="s">
        <v>3009</v>
      </c>
      <c r="B734" t="s">
        <v>3010</v>
      </c>
      <c r="C734" s="710"/>
      <c r="D734" s="710"/>
      <c r="E734" s="710"/>
      <c r="F734" s="3"/>
    </row>
    <row r="735" spans="1:6" ht="15" customHeight="1">
      <c r="A735" t="s">
        <v>3015</v>
      </c>
      <c r="B735" t="s">
        <v>3016</v>
      </c>
      <c r="C735" s="710"/>
      <c r="D735" s="710"/>
      <c r="E735" s="710"/>
      <c r="F735" s="3"/>
    </row>
    <row r="736" spans="1:6" ht="15" customHeight="1">
      <c r="A736" t="s">
        <v>3027</v>
      </c>
      <c r="B736" t="s">
        <v>3028</v>
      </c>
      <c r="C736" s="710" t="s">
        <v>88</v>
      </c>
      <c r="D736" s="710" t="s">
        <v>101</v>
      </c>
      <c r="E736" s="710" t="s">
        <v>3125</v>
      </c>
      <c r="F736" s="3"/>
    </row>
    <row r="737" spans="1:6" ht="15" customHeight="1">
      <c r="A737" t="s">
        <v>3031</v>
      </c>
      <c r="B737" t="s">
        <v>3032</v>
      </c>
      <c r="C737" s="710" t="s">
        <v>88</v>
      </c>
      <c r="D737" s="710" t="s">
        <v>102</v>
      </c>
      <c r="E737" s="710" t="s">
        <v>3125</v>
      </c>
      <c r="F737" s="3"/>
    </row>
    <row r="738" spans="1:6" ht="15" customHeight="1">
      <c r="A738" t="s">
        <v>3035</v>
      </c>
      <c r="B738" t="s">
        <v>3036</v>
      </c>
      <c r="C738" s="710" t="s">
        <v>148</v>
      </c>
      <c r="D738" s="710" t="s">
        <v>101</v>
      </c>
      <c r="E738" s="710" t="s">
        <v>3125</v>
      </c>
      <c r="F738" s="3"/>
    </row>
    <row r="739" spans="1:6" ht="15" customHeight="1">
      <c r="A739" t="s">
        <v>3039</v>
      </c>
      <c r="B739" t="s">
        <v>3040</v>
      </c>
      <c r="C739" s="710" t="s">
        <v>148</v>
      </c>
      <c r="D739" s="710" t="s">
        <v>102</v>
      </c>
      <c r="E739" s="710" t="s">
        <v>3125</v>
      </c>
      <c r="F739" s="3"/>
    </row>
    <row r="740" spans="1:6" ht="15" customHeight="1">
      <c r="A740" t="s">
        <v>3059</v>
      </c>
      <c r="B740" t="s">
        <v>3058</v>
      </c>
      <c r="C740" s="710"/>
      <c r="D740" s="710"/>
      <c r="E740" s="710"/>
      <c r="F740" s="3"/>
    </row>
    <row r="741" spans="1:6" ht="15" customHeight="1">
      <c r="A741" t="s">
        <v>3062</v>
      </c>
      <c r="B741" t="s">
        <v>3063</v>
      </c>
      <c r="C741" s="710"/>
      <c r="D741" s="710"/>
      <c r="E741" s="710"/>
      <c r="F741" s="3"/>
    </row>
    <row r="742" spans="1:6" ht="15" customHeight="1">
      <c r="A742" t="s">
        <v>3066</v>
      </c>
      <c r="B742" t="s">
        <v>3067</v>
      </c>
      <c r="C742" s="710" t="s">
        <v>88</v>
      </c>
      <c r="D742" s="710" t="s">
        <v>108</v>
      </c>
      <c r="E742" s="710"/>
      <c r="F742" s="3"/>
    </row>
    <row r="743" spans="1:6" ht="15" customHeight="1">
      <c r="A743" t="s">
        <v>3070</v>
      </c>
      <c r="B743" t="s">
        <v>3071</v>
      </c>
      <c r="C743" s="710" t="s">
        <v>148</v>
      </c>
      <c r="D743" s="710" t="s">
        <v>108</v>
      </c>
      <c r="E743" s="710"/>
      <c r="F743" s="3"/>
    </row>
    <row r="744" spans="1:6" ht="15" customHeight="1">
      <c r="A744" t="s">
        <v>3076</v>
      </c>
      <c r="B744" t="s">
        <v>3077</v>
      </c>
      <c r="C744" s="710"/>
      <c r="D744" s="710"/>
      <c r="E744" s="710"/>
      <c r="F744" s="3"/>
    </row>
    <row r="745" spans="1:6" ht="15" customHeight="1">
      <c r="A745" t="s">
        <v>3082</v>
      </c>
      <c r="B745" t="s">
        <v>3081</v>
      </c>
      <c r="C745" s="710" t="s">
        <v>667</v>
      </c>
      <c r="D745" s="710" t="s">
        <v>212</v>
      </c>
      <c r="E745" s="710"/>
      <c r="F745" s="3"/>
    </row>
    <row r="746" spans="1:6" ht="15" customHeight="1">
      <c r="A746" t="s">
        <v>3083</v>
      </c>
      <c r="B746" t="s">
        <v>3084</v>
      </c>
      <c r="C746" s="710" t="s">
        <v>667</v>
      </c>
      <c r="D746" s="710" t="s">
        <v>219</v>
      </c>
      <c r="E746" s="710"/>
      <c r="F746" s="3"/>
    </row>
    <row r="747" spans="1:6" ht="15" customHeight="1">
      <c r="A747" t="s">
        <v>3085</v>
      </c>
      <c r="B747" t="s">
        <v>3086</v>
      </c>
      <c r="C747" s="710" t="s">
        <v>667</v>
      </c>
      <c r="D747" s="710" t="s">
        <v>1098</v>
      </c>
      <c r="E747" s="710"/>
      <c r="F747" s="3"/>
    </row>
    <row r="748" spans="1:6" ht="15" customHeight="1">
      <c r="A748" t="s">
        <v>3087</v>
      </c>
      <c r="B748" t="s">
        <v>3088</v>
      </c>
      <c r="C748" s="710" t="s">
        <v>88</v>
      </c>
      <c r="D748" s="710" t="s">
        <v>3135</v>
      </c>
      <c r="E748" s="710"/>
      <c r="F748" s="3"/>
    </row>
    <row r="749" spans="1:6" ht="15" customHeight="1">
      <c r="A749" t="s">
        <v>3093</v>
      </c>
      <c r="B749" t="s">
        <v>3092</v>
      </c>
      <c r="C749" s="710" t="s">
        <v>667</v>
      </c>
      <c r="D749" s="710" t="s">
        <v>212</v>
      </c>
      <c r="E749" s="710"/>
      <c r="F749" s="3"/>
    </row>
    <row r="750" spans="1:6" ht="15" customHeight="1">
      <c r="A750" t="s">
        <v>3094</v>
      </c>
      <c r="B750" t="s">
        <v>3095</v>
      </c>
      <c r="C750" s="710" t="s">
        <v>667</v>
      </c>
      <c r="D750" s="710" t="s">
        <v>219</v>
      </c>
      <c r="E750" s="710"/>
      <c r="F750" s="3"/>
    </row>
    <row r="751" spans="1:6" ht="15" customHeight="1">
      <c r="A751" s="937" t="s">
        <v>3097</v>
      </c>
      <c r="B751" s="937" t="s">
        <v>3098</v>
      </c>
      <c r="C751" s="940" t="s">
        <v>1162</v>
      </c>
      <c r="D751" s="940" t="s">
        <v>109</v>
      </c>
      <c r="E751" s="940"/>
      <c r="F751" s="3"/>
    </row>
    <row r="752" spans="1:6" ht="15" customHeight="1">
      <c r="A752" t="s">
        <v>3139</v>
      </c>
      <c r="B752" s="1046" t="s">
        <v>3145</v>
      </c>
      <c r="C752" s="710" t="s">
        <v>88</v>
      </c>
      <c r="D752" s="710" t="s">
        <v>145</v>
      </c>
      <c r="E752" s="710"/>
      <c r="F752" s="3"/>
    </row>
    <row r="753" spans="1:6" ht="15" customHeight="1">
      <c r="A753" t="s">
        <v>3140</v>
      </c>
      <c r="B753" s="1046" t="s">
        <v>3146</v>
      </c>
      <c r="C753" s="710" t="s">
        <v>148</v>
      </c>
      <c r="D753" s="710" t="s">
        <v>145</v>
      </c>
      <c r="E753" s="710"/>
      <c r="F753" s="3"/>
    </row>
    <row r="754" spans="1:6" ht="15" customHeight="1">
      <c r="A754" t="s">
        <v>3141</v>
      </c>
      <c r="B754" t="s">
        <v>3142</v>
      </c>
      <c r="C754" s="710" t="s">
        <v>88</v>
      </c>
      <c r="D754" s="710" t="s">
        <v>3129</v>
      </c>
      <c r="E754" s="710"/>
      <c r="F754" s="3"/>
    </row>
    <row r="755" spans="1:6" ht="15" customHeight="1">
      <c r="A755" t="s">
        <v>3143</v>
      </c>
      <c r="B755" t="s">
        <v>3144</v>
      </c>
      <c r="C755" s="710" t="s">
        <v>148</v>
      </c>
      <c r="D755" s="710" t="s">
        <v>3129</v>
      </c>
      <c r="E755" s="710"/>
      <c r="F755" s="3"/>
    </row>
    <row r="756" spans="1:6" ht="15" customHeight="1">
      <c r="A756" t="s">
        <v>1535</v>
      </c>
      <c r="B756" t="s">
        <v>1536</v>
      </c>
      <c r="C756" s="710" t="s">
        <v>172</v>
      </c>
      <c r="D756" s="710" t="s">
        <v>3147</v>
      </c>
      <c r="E756" s="710"/>
      <c r="F756" s="3"/>
    </row>
    <row r="757" spans="1:6" ht="15" customHeight="1">
      <c r="A757" s="1048" t="s">
        <v>1581</v>
      </c>
      <c r="B757" s="1048" t="s">
        <v>1582</v>
      </c>
      <c r="C757" s="1049" t="s">
        <v>88</v>
      </c>
      <c r="D757" s="1049" t="s">
        <v>113</v>
      </c>
      <c r="E757" s="1049"/>
      <c r="F757" s="3"/>
    </row>
    <row r="758" spans="1:6" ht="15" customHeight="1">
      <c r="A758" t="s">
        <v>2815</v>
      </c>
      <c r="B758" s="938" t="s">
        <v>2816</v>
      </c>
      <c r="C758" s="710" t="s">
        <v>667</v>
      </c>
      <c r="D758" s="710" t="s">
        <v>212</v>
      </c>
      <c r="E758" s="710"/>
      <c r="F758" s="3"/>
    </row>
    <row r="759" spans="1:6" ht="15" customHeight="1">
      <c r="A759" t="s">
        <v>3148</v>
      </c>
      <c r="B759" t="s">
        <v>3149</v>
      </c>
      <c r="C759" s="710" t="s">
        <v>667</v>
      </c>
      <c r="D759" s="710" t="s">
        <v>3159</v>
      </c>
      <c r="E759" s="710"/>
      <c r="F759" s="3"/>
    </row>
    <row r="760" spans="1:6" ht="15" customHeight="1">
      <c r="A760" s="905" t="s">
        <v>3154</v>
      </c>
      <c r="B760" s="905" t="s">
        <v>3155</v>
      </c>
      <c r="C760" s="710" t="s">
        <v>652</v>
      </c>
      <c r="D760" s="710" t="s">
        <v>80</v>
      </c>
      <c r="E760" s="710"/>
      <c r="F760" s="3"/>
    </row>
    <row r="761" spans="1:6" ht="15" customHeight="1">
      <c r="A761" s="905" t="s">
        <v>3156</v>
      </c>
      <c r="B761" s="905" t="s">
        <v>3157</v>
      </c>
      <c r="C761" s="710" t="s">
        <v>652</v>
      </c>
      <c r="D761" s="710" t="s">
        <v>80</v>
      </c>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C782" s="710"/>
      <c r="D782" s="710"/>
      <c r="E782" s="710"/>
      <c r="F782" s="3"/>
    </row>
    <row r="783" spans="2:6" ht="15" customHeight="1">
      <c r="C783" s="710"/>
      <c r="D783" s="710"/>
      <c r="E783" s="710"/>
      <c r="F783" s="3"/>
    </row>
    <row r="784" spans="2:6" ht="15" customHeight="1">
      <c r="B784" t="s">
        <v>1156</v>
      </c>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3"/>
    </row>
    <row r="834" spans="6:6" ht="15" customHeight="1">
      <c r="F834" s="3"/>
    </row>
    <row r="835" spans="6:6" ht="15" customHeight="1">
      <c r="F835" s="4"/>
    </row>
    <row r="836" spans="6:6" ht="15" customHeight="1">
      <c r="F836" s="4"/>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6" ht="15" customHeight="1">
      <c r="F849" s="3"/>
    </row>
    <row r="850" spans="6:6" ht="15" customHeight="1">
      <c r="F850" s="3"/>
    </row>
    <row r="851" spans="6:6" ht="15" customHeight="1">
      <c r="F851" s="3"/>
    </row>
    <row r="852" spans="6:6" ht="15" customHeight="1">
      <c r="F852" s="3"/>
    </row>
    <row r="853" spans="6:6" ht="15" customHeight="1">
      <c r="F853" s="3"/>
    </row>
    <row r="854" spans="6:6" ht="15" customHeight="1">
      <c r="F854" s="3"/>
    </row>
    <row r="855" spans="6:6" ht="15" customHeight="1">
      <c r="F855" s="3"/>
    </row>
    <row r="856" spans="6:6" ht="15" customHeight="1">
      <c r="F856" s="3"/>
    </row>
    <row r="857" spans="6:6" ht="15" customHeight="1">
      <c r="F857" s="3"/>
    </row>
    <row r="858" spans="6:6" ht="15" customHeight="1">
      <c r="F858" s="3"/>
    </row>
    <row r="859" spans="6:6" ht="15" customHeight="1">
      <c r="F859" s="3"/>
    </row>
    <row r="860" spans="6:6" ht="15" customHeight="1">
      <c r="F860" s="3"/>
    </row>
    <row r="861" spans="6:6" ht="15" customHeight="1">
      <c r="F861" s="3"/>
    </row>
    <row r="862" spans="6:6" ht="15" customHeight="1">
      <c r="F862" s="3"/>
    </row>
    <row r="863" spans="6:6" ht="15" customHeight="1">
      <c r="F863" s="3"/>
    </row>
    <row r="864" spans="6:6" ht="15" customHeight="1">
      <c r="F864" s="3"/>
    </row>
    <row r="865" spans="6:10" ht="15" customHeight="1">
      <c r="F865" s="3"/>
    </row>
    <row r="866" spans="6:10" ht="15" customHeight="1">
      <c r="F866" s="3"/>
      <c r="J866" s="3"/>
    </row>
    <row r="867" spans="6:10" ht="15" customHeight="1">
      <c r="F867" s="3"/>
      <c r="J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6" ht="15" customHeight="1">
      <c r="F945" s="3"/>
    </row>
    <row r="946" spans="6:6" ht="15" customHeight="1">
      <c r="F946" s="3"/>
    </row>
    <row r="947" spans="6:6" ht="15" customHeight="1">
      <c r="F947" s="3"/>
    </row>
    <row r="948" spans="6:6" ht="15" customHeight="1">
      <c r="F948" s="3"/>
    </row>
    <row r="949" spans="6:6" ht="15" customHeight="1">
      <c r="F949" s="3"/>
    </row>
    <row r="950" spans="6:6" ht="15" customHeight="1">
      <c r="F950" s="3"/>
    </row>
    <row r="951" spans="6:6" ht="15" customHeight="1">
      <c r="F951" s="3"/>
    </row>
    <row r="952" spans="6:6" ht="15" customHeight="1">
      <c r="F952" s="3"/>
    </row>
    <row r="953" spans="6:6" ht="15" customHeight="1">
      <c r="F953" s="3"/>
    </row>
    <row r="954" spans="6:6" ht="15" customHeight="1">
      <c r="F954" s="3"/>
    </row>
    <row r="955" spans="6:6" ht="15" customHeight="1">
      <c r="F955" s="3"/>
    </row>
    <row r="956" spans="6:6" ht="15" customHeight="1">
      <c r="F956" s="3"/>
    </row>
    <row r="957" spans="6:6" ht="15" customHeight="1">
      <c r="F957" s="3"/>
    </row>
    <row r="958" spans="6:6" ht="15" customHeight="1">
      <c r="F958" s="3"/>
    </row>
    <row r="959" spans="6:6" ht="15" customHeight="1">
      <c r="F959" s="3"/>
    </row>
    <row r="960" spans="6:6" ht="15" customHeight="1">
      <c r="F960" s="3"/>
    </row>
    <row r="961" spans="6:27" ht="15" customHeight="1">
      <c r="F961" s="3"/>
    </row>
    <row r="962" spans="6:27" ht="15" customHeight="1">
      <c r="F962" s="3"/>
      <c r="G962" s="3"/>
      <c r="H962" s="3"/>
      <c r="J962" s="3"/>
      <c r="K962" s="3"/>
      <c r="L962" s="3"/>
      <c r="M962" s="3"/>
      <c r="N962" s="3"/>
      <c r="O962" s="3"/>
      <c r="P962" s="3"/>
      <c r="Q962" s="3"/>
      <c r="R962" s="3"/>
      <c r="S962" s="3"/>
      <c r="T962" s="3"/>
      <c r="U962" s="3"/>
      <c r="V962" s="3"/>
      <c r="W962" s="3"/>
      <c r="X962" s="3"/>
      <c r="Y962" s="3"/>
      <c r="Z962" s="3"/>
      <c r="AA962" s="3"/>
    </row>
    <row r="963" spans="6:27" ht="15" customHeight="1">
      <c r="F963" s="3"/>
      <c r="G963" s="3"/>
      <c r="H963" s="3"/>
      <c r="J963" s="3"/>
      <c r="K963" s="3"/>
      <c r="L963" s="3"/>
      <c r="M963" s="3"/>
      <c r="N963" s="3"/>
      <c r="O963" s="3"/>
      <c r="P963" s="3"/>
      <c r="Q963" s="3"/>
      <c r="R963" s="3"/>
      <c r="S963" s="3"/>
      <c r="T963" s="3"/>
      <c r="U963" s="3"/>
      <c r="V963" s="3"/>
      <c r="W963" s="3"/>
      <c r="X963" s="3"/>
      <c r="Y963" s="3"/>
      <c r="Z963" s="3"/>
      <c r="AA963" s="3"/>
    </row>
    <row r="964" spans="6:27" ht="13.5" customHeight="1">
      <c r="F964" s="3"/>
    </row>
    <row r="965" spans="6:27" ht="15" customHeight="1">
      <c r="F965" s="3"/>
    </row>
    <row r="966" spans="6:27" ht="15" customHeight="1">
      <c r="F966" s="3"/>
    </row>
    <row r="967" spans="6:27" ht="15" customHeight="1">
      <c r="F967" s="3"/>
    </row>
    <row r="968" spans="6:27" ht="15" customHeight="1">
      <c r="F968" s="3"/>
    </row>
    <row r="969" spans="6:27" ht="15" customHeight="1">
      <c r="F969" s="3"/>
      <c r="I969" s="3"/>
    </row>
    <row r="970" spans="6:27" ht="15" customHeight="1">
      <c r="F970" s="3"/>
      <c r="G970" s="3"/>
      <c r="H970" s="3"/>
      <c r="I970" s="3"/>
      <c r="J970" s="3"/>
      <c r="K970" s="3"/>
      <c r="L970" s="3"/>
      <c r="M970" s="3"/>
      <c r="N970" s="3"/>
      <c r="O970" s="3"/>
      <c r="P970" s="3"/>
      <c r="Q970" s="3"/>
      <c r="R970" s="3"/>
      <c r="S970" s="3"/>
      <c r="T970" s="3"/>
      <c r="U970" s="3"/>
      <c r="V970" s="3"/>
      <c r="W970" s="3"/>
      <c r="X970" s="3"/>
      <c r="Y970" s="3"/>
      <c r="Z970" s="3"/>
      <c r="AA970" s="3"/>
    </row>
    <row r="971" spans="6:27" ht="15" customHeight="1">
      <c r="F971" s="3"/>
    </row>
    <row r="972" spans="6:27" ht="15" customHeight="1">
      <c r="F972" s="3"/>
    </row>
    <row r="973" spans="6:27" ht="15" customHeight="1">
      <c r="F973" s="3"/>
    </row>
    <row r="974" spans="6:27" ht="15" customHeight="1">
      <c r="F974" s="3"/>
    </row>
    <row r="975" spans="6:27" ht="15" customHeight="1">
      <c r="F975" s="3"/>
    </row>
    <row r="976" spans="6:27" ht="15" customHeight="1">
      <c r="F976" s="3"/>
    </row>
    <row r="977" spans="6:27" ht="15" customHeight="1">
      <c r="F977" s="3"/>
      <c r="G977" s="3"/>
      <c r="H977" s="3"/>
      <c r="J977" s="3"/>
      <c r="K977" s="3"/>
      <c r="L977" s="3"/>
      <c r="M977" s="3"/>
      <c r="N977" s="3"/>
      <c r="O977" s="3"/>
      <c r="P977" s="3"/>
      <c r="Q977" s="3"/>
      <c r="R977" s="3"/>
      <c r="S977" s="3"/>
      <c r="T977" s="3"/>
      <c r="U977" s="3"/>
      <c r="V977" s="3"/>
      <c r="W977" s="3"/>
      <c r="X977" s="3"/>
      <c r="Y977" s="3"/>
      <c r="Z977" s="3"/>
      <c r="AA977" s="3"/>
    </row>
    <row r="978" spans="6:27" ht="15" customHeight="1">
      <c r="F978" s="3"/>
      <c r="I978" s="3"/>
    </row>
    <row r="979" spans="6:27" ht="15" customHeight="1">
      <c r="F979" s="3"/>
      <c r="I979" s="3"/>
    </row>
    <row r="980" spans="6:27" ht="15" customHeight="1">
      <c r="F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27" ht="15" customHeight="1">
      <c r="F993" s="3"/>
    </row>
    <row r="994" spans="6:27" ht="15" customHeight="1">
      <c r="F994" s="3"/>
    </row>
    <row r="995" spans="6:27" ht="15" customHeight="1">
      <c r="F995" s="3"/>
    </row>
    <row r="996" spans="6:27" ht="15" customHeight="1">
      <c r="F996" s="3"/>
      <c r="G996" s="3"/>
      <c r="H996" s="3"/>
      <c r="J996" s="3"/>
      <c r="K996" s="3"/>
      <c r="L996" s="3"/>
      <c r="M996" s="3"/>
      <c r="N996" s="3"/>
      <c r="O996" s="3"/>
      <c r="P996" s="3"/>
      <c r="Q996" s="3"/>
      <c r="R996" s="3"/>
      <c r="S996" s="3"/>
      <c r="T996" s="3"/>
      <c r="U996" s="3"/>
      <c r="V996" s="3"/>
      <c r="W996" s="3"/>
      <c r="X996" s="3"/>
      <c r="Y996" s="3"/>
      <c r="Z996" s="3"/>
      <c r="AA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6" ht="15" customHeight="1">
      <c r="F1009" s="3"/>
    </row>
    <row r="1010" spans="6:6" ht="15" customHeight="1">
      <c r="F1010" s="3"/>
    </row>
    <row r="1011" spans="6:6" ht="15" customHeight="1">
      <c r="F1011" s="3"/>
    </row>
    <row r="1012" spans="6:6" ht="15" customHeight="1">
      <c r="F1012" s="3"/>
    </row>
    <row r="1013" spans="6:6" ht="15" customHeight="1">
      <c r="F1013" s="3"/>
    </row>
    <row r="1014" spans="6:6" ht="15" customHeight="1">
      <c r="F1014" s="3"/>
    </row>
    <row r="1015" spans="6:6" ht="15" customHeight="1">
      <c r="F1015" s="3"/>
    </row>
    <row r="1016" spans="6:6" ht="15" customHeight="1">
      <c r="F1016" s="3"/>
    </row>
    <row r="1017" spans="6:6" ht="15" customHeight="1">
      <c r="F1017" s="3"/>
    </row>
    <row r="1018" spans="6:6" ht="15" customHeight="1">
      <c r="F1018" s="3"/>
    </row>
    <row r="1019" spans="6:6" ht="15" customHeight="1">
      <c r="F1019" s="3"/>
    </row>
    <row r="1020" spans="6:6" ht="15" customHeight="1">
      <c r="F1020" s="3"/>
    </row>
    <row r="1021" spans="6:6" ht="15" customHeight="1">
      <c r="F1021" s="3"/>
    </row>
    <row r="1022" spans="6:6" ht="15" customHeight="1">
      <c r="F1022" s="3"/>
    </row>
    <row r="1023" spans="6:6" ht="15" customHeight="1">
      <c r="F1023" s="3"/>
    </row>
    <row r="1024" spans="6:6" ht="15" customHeight="1">
      <c r="F1024" s="3"/>
    </row>
    <row r="1025" spans="6:9" ht="15" customHeight="1">
      <c r="F1025" s="3"/>
      <c r="I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row>
    <row r="1037" spans="6:9" ht="15" customHeight="1">
      <c r="F1037" s="3"/>
    </row>
    <row r="1038" spans="6:9" ht="15" customHeight="1">
      <c r="F1038" s="3"/>
      <c r="I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c r="G1074" s="3"/>
      <c r="H1074" s="3"/>
      <c r="J1074" s="3"/>
      <c r="K1074" s="3"/>
      <c r="L1074" s="3"/>
      <c r="M1074" s="3"/>
      <c r="N1074" s="3"/>
      <c r="O1074" s="3"/>
      <c r="P1074" s="3"/>
      <c r="Q1074" s="3"/>
      <c r="R1074" s="3"/>
      <c r="S1074" s="3"/>
      <c r="T1074" s="3"/>
      <c r="U1074" s="3"/>
      <c r="V1074" s="3"/>
      <c r="W1074" s="3"/>
      <c r="X1074" s="3"/>
      <c r="Y1074" s="3"/>
      <c r="Z1074" s="3"/>
      <c r="AA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I1081" s="3"/>
    </row>
    <row r="1082" spans="6:27" ht="15" customHeight="1">
      <c r="F1082" s="3"/>
    </row>
    <row r="1083" spans="6:27" ht="15" customHeight="1">
      <c r="F1083" s="3"/>
    </row>
    <row r="1084" spans="6:27" ht="15" customHeight="1">
      <c r="F1084" s="3"/>
    </row>
    <row r="1085" spans="6:27" ht="15" customHeight="1">
      <c r="F1085" s="3"/>
    </row>
    <row r="1086" spans="6:27" ht="15" customHeight="1">
      <c r="F1086" s="3"/>
    </row>
    <row r="1087" spans="6:27" ht="15" customHeight="1">
      <c r="F1087" s="3"/>
    </row>
    <row r="1088" spans="6:27" ht="15" customHeight="1">
      <c r="F1088" s="3"/>
    </row>
    <row r="1089" spans="6:6" ht="15" customHeight="1">
      <c r="F1089" s="3"/>
    </row>
    <row r="1090" spans="6:6" ht="15" customHeight="1">
      <c r="F1090" s="3"/>
    </row>
    <row r="1091" spans="6:6" ht="15" customHeight="1">
      <c r="F1091" s="3"/>
    </row>
    <row r="1092" spans="6:6" ht="15" customHeight="1">
      <c r="F1092" s="3"/>
    </row>
    <row r="1093" spans="6:6" ht="15" customHeight="1">
      <c r="F1093" s="3"/>
    </row>
    <row r="1094" spans="6:6" ht="15" customHeight="1">
      <c r="F1094" s="3"/>
    </row>
    <row r="1095" spans="6:6" ht="15" customHeight="1">
      <c r="F1095" s="3"/>
    </row>
    <row r="1096" spans="6:6" ht="15" customHeight="1">
      <c r="F1096" s="3"/>
    </row>
    <row r="1097" spans="6:6" ht="15" customHeight="1">
      <c r="F1097" s="3"/>
    </row>
    <row r="1098" spans="6:6" ht="15" customHeight="1">
      <c r="F1098" s="3"/>
    </row>
    <row r="1099" spans="6:6" ht="15" customHeight="1">
      <c r="F1099" s="3"/>
    </row>
    <row r="1100" spans="6:6" ht="15" customHeight="1">
      <c r="F1100" s="3"/>
    </row>
    <row r="1101" spans="6:6" ht="15" customHeight="1">
      <c r="F1101" s="3"/>
    </row>
    <row r="1102" spans="6:6" ht="15" customHeight="1">
      <c r="F1102" s="3"/>
    </row>
    <row r="1103" spans="6:6" ht="15" customHeight="1">
      <c r="F1103" s="3"/>
    </row>
    <row r="1104" spans="6:6" ht="15" customHeight="1">
      <c r="F1104" s="3"/>
    </row>
    <row r="1105" spans="6:27" ht="15" customHeight="1">
      <c r="F1105" s="3"/>
      <c r="G1105" s="3"/>
      <c r="H1105" s="3"/>
      <c r="J1105" s="3"/>
      <c r="K1105" s="3"/>
      <c r="L1105" s="3"/>
      <c r="M1105" s="3"/>
      <c r="N1105" s="3"/>
      <c r="O1105" s="3"/>
      <c r="P1105" s="3"/>
      <c r="Q1105" s="3"/>
      <c r="R1105" s="3"/>
      <c r="S1105" s="3"/>
      <c r="T1105" s="3"/>
      <c r="U1105" s="3"/>
      <c r="V1105" s="3"/>
      <c r="W1105" s="3"/>
      <c r="X1105" s="3"/>
      <c r="Y1105" s="3"/>
      <c r="Z1105" s="3"/>
      <c r="AA1105" s="3"/>
    </row>
    <row r="1106" spans="6:27" ht="15" customHeight="1">
      <c r="F1106" s="3"/>
    </row>
    <row r="1107" spans="6:27" ht="15" customHeight="1">
      <c r="F1107" s="3"/>
    </row>
    <row r="1108" spans="6:27" ht="15" customHeight="1">
      <c r="F1108" s="3"/>
    </row>
    <row r="1109" spans="6:27" ht="15" customHeight="1">
      <c r="F1109" s="3"/>
    </row>
    <row r="1110" spans="6:27" ht="15" customHeight="1">
      <c r="F1110" s="3"/>
    </row>
    <row r="1111" spans="6:27" ht="15" customHeight="1">
      <c r="F1111" s="3"/>
    </row>
    <row r="1112" spans="6:27" ht="15" customHeight="1">
      <c r="F1112" s="3"/>
    </row>
    <row r="1113" spans="6:27" ht="15" customHeight="1">
      <c r="F1113" s="3"/>
    </row>
    <row r="1114" spans="6:27" ht="15" customHeight="1">
      <c r="F1114" s="3"/>
    </row>
    <row r="1115" spans="6:27" ht="15" customHeight="1">
      <c r="F1115" s="3"/>
    </row>
    <row r="1116" spans="6:27" ht="15" customHeight="1">
      <c r="F1116" s="3"/>
    </row>
    <row r="1117" spans="6:27" ht="15" customHeight="1">
      <c r="F1117" s="3"/>
    </row>
    <row r="1118" spans="6:27" ht="15" customHeight="1">
      <c r="F1118" s="3"/>
    </row>
    <row r="1119" spans="6:27" ht="15" customHeight="1">
      <c r="F1119" s="3"/>
    </row>
    <row r="1120" spans="6:27"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row>
    <row r="1139" spans="6:27" ht="15" customHeight="1">
      <c r="F1139" s="3"/>
    </row>
    <row r="1140" spans="6:27" ht="15" customHeight="1">
      <c r="F1140" s="3"/>
      <c r="G1140" s="3"/>
      <c r="H1140" s="3"/>
      <c r="J1140" s="3"/>
      <c r="K1140" s="3"/>
      <c r="L1140" s="3"/>
      <c r="M1140" s="3"/>
      <c r="N1140" s="3"/>
      <c r="O1140" s="3"/>
      <c r="P1140" s="3"/>
      <c r="Q1140" s="3"/>
      <c r="R1140" s="3"/>
      <c r="S1140" s="3"/>
      <c r="T1140" s="3"/>
      <c r="U1140" s="3"/>
      <c r="V1140" s="3"/>
      <c r="W1140" s="3"/>
      <c r="X1140" s="3"/>
      <c r="Y1140" s="3"/>
      <c r="Z1140" s="3"/>
      <c r="AA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row>
    <row r="1155" spans="6:27" ht="15" customHeight="1">
      <c r="F1155" s="3"/>
      <c r="G1155" s="3"/>
      <c r="H1155" s="3"/>
      <c r="J1155" s="3"/>
      <c r="K1155" s="3"/>
      <c r="L1155" s="3"/>
      <c r="M1155" s="3"/>
      <c r="N1155" s="3"/>
      <c r="O1155" s="3"/>
      <c r="P1155" s="3"/>
      <c r="Q1155" s="3"/>
      <c r="R1155" s="3"/>
      <c r="S1155" s="3"/>
      <c r="T1155" s="3"/>
      <c r="U1155" s="3"/>
      <c r="V1155" s="3"/>
      <c r="W1155" s="3"/>
      <c r="X1155" s="3"/>
      <c r="Y1155" s="3"/>
      <c r="Z1155" s="3"/>
      <c r="AA1155" s="3"/>
    </row>
    <row r="1156" spans="6:27" ht="15" customHeight="1">
      <c r="F1156" s="3"/>
      <c r="I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row>
    <row r="1190" spans="6:9" ht="15" customHeight="1">
      <c r="F1190" s="3"/>
    </row>
    <row r="1191" spans="6:9" ht="15" customHeight="1">
      <c r="F1191" s="3"/>
      <c r="I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row>
    <row r="1203" spans="6:27" ht="15" customHeight="1">
      <c r="F1203" s="3"/>
    </row>
    <row r="1204" spans="6:27" ht="15" customHeight="1">
      <c r="F1204" s="3"/>
      <c r="I1204" s="3"/>
    </row>
    <row r="1205" spans="6:27" ht="15" customHeight="1">
      <c r="F1205" s="3"/>
    </row>
    <row r="1206" spans="6:27" ht="15" customHeight="1">
      <c r="F1206" s="3"/>
      <c r="I1206" s="3"/>
    </row>
    <row r="1207" spans="6:27" ht="15" customHeight="1">
      <c r="F1207" s="3"/>
    </row>
    <row r="1208" spans="6:27" ht="15" customHeight="1">
      <c r="F1208" s="3"/>
    </row>
    <row r="1209" spans="6:27" ht="15" customHeight="1">
      <c r="F1209" s="3"/>
    </row>
    <row r="1210" spans="6:27" ht="15" customHeight="1">
      <c r="F1210" s="3"/>
    </row>
    <row r="1211" spans="6:27" ht="15" customHeight="1">
      <c r="F1211" s="3"/>
    </row>
    <row r="1212" spans="6:27" ht="15" customHeight="1">
      <c r="F1212" s="3"/>
    </row>
    <row r="1213" spans="6:27" ht="15" customHeight="1">
      <c r="F1213" s="3"/>
      <c r="G1213" s="3"/>
      <c r="H1213" s="3"/>
      <c r="J1213" s="3"/>
      <c r="K1213" s="3"/>
      <c r="L1213" s="3"/>
      <c r="M1213" s="3"/>
      <c r="N1213" s="3"/>
      <c r="O1213" s="3"/>
      <c r="P1213" s="3"/>
      <c r="Q1213" s="3"/>
      <c r="R1213" s="3"/>
      <c r="S1213" s="3"/>
      <c r="T1213" s="3"/>
      <c r="U1213" s="3"/>
      <c r="V1213" s="3"/>
      <c r="W1213" s="3"/>
      <c r="X1213" s="3"/>
      <c r="Y1213" s="3"/>
      <c r="Z1213" s="3"/>
      <c r="AA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6" ht="15" customHeight="1">
      <c r="F1233" s="3"/>
    </row>
    <row r="1234" spans="6:6" ht="15" customHeight="1">
      <c r="F1234" s="3"/>
    </row>
    <row r="1235" spans="6:6" ht="15" customHeight="1">
      <c r="F1235" s="3"/>
    </row>
    <row r="1236" spans="6:6" ht="15" customHeight="1">
      <c r="F1236" s="3"/>
    </row>
    <row r="1237" spans="6:6" ht="15" customHeight="1">
      <c r="F1237" s="3"/>
    </row>
    <row r="1238" spans="6:6" ht="15" customHeight="1">
      <c r="F1238" s="3"/>
    </row>
    <row r="1239" spans="6:6" ht="15" customHeight="1">
      <c r="F1239" s="3"/>
    </row>
    <row r="1240" spans="6:6" ht="15" customHeight="1">
      <c r="F1240" s="3"/>
    </row>
    <row r="1241" spans="6:6" ht="15" customHeight="1">
      <c r="F1241" s="3"/>
    </row>
    <row r="1242" spans="6:6" ht="15" customHeight="1">
      <c r="F1242" s="3"/>
    </row>
    <row r="1243" spans="6:6" ht="15" customHeight="1">
      <c r="F1243" s="3"/>
    </row>
    <row r="1244" spans="6:6" ht="15" customHeight="1">
      <c r="F1244" s="3"/>
    </row>
    <row r="1245" spans="6:6" ht="15" customHeight="1">
      <c r="F1245" s="3"/>
    </row>
    <row r="1246" spans="6:6" ht="15" customHeight="1">
      <c r="F1246" s="3"/>
    </row>
    <row r="1247" spans="6:6" ht="15" customHeight="1">
      <c r="F1247" s="3"/>
    </row>
    <row r="1248" spans="6:6" ht="15" customHeight="1">
      <c r="F1248" s="3"/>
    </row>
    <row r="1249" spans="6:27" ht="15" customHeight="1">
      <c r="F1249" s="3"/>
      <c r="G1249" s="3"/>
      <c r="H1249" s="3"/>
      <c r="J1249" s="3"/>
      <c r="K1249" s="3"/>
      <c r="L1249" s="3"/>
      <c r="M1249" s="3"/>
      <c r="N1249" s="3"/>
      <c r="O1249" s="3"/>
      <c r="P1249" s="3"/>
      <c r="Q1249" s="3"/>
      <c r="R1249" s="3"/>
      <c r="S1249" s="3"/>
      <c r="T1249" s="3"/>
      <c r="U1249" s="3"/>
      <c r="V1249" s="3"/>
      <c r="W1249" s="3"/>
      <c r="X1249" s="3"/>
      <c r="Y1249" s="3"/>
      <c r="Z1249" s="3"/>
      <c r="AA1249" s="3"/>
    </row>
    <row r="1250" spans="6:27" ht="15" customHeight="1">
      <c r="F1250" s="3"/>
    </row>
    <row r="1251" spans="6:27" ht="15" customHeight="1">
      <c r="F1251" s="3"/>
    </row>
    <row r="1252" spans="6:27" ht="15" customHeight="1">
      <c r="F1252" s="3"/>
    </row>
    <row r="1253" spans="6:27" ht="15" customHeight="1">
      <c r="F1253" s="3"/>
    </row>
    <row r="1254" spans="6:27" ht="15" customHeight="1">
      <c r="F1254" s="3"/>
    </row>
    <row r="1255" spans="6:27" ht="15" customHeight="1">
      <c r="F1255" s="3"/>
    </row>
    <row r="1256" spans="6:27" ht="15" customHeight="1">
      <c r="F1256" s="3"/>
      <c r="I1256" s="3"/>
    </row>
    <row r="1257" spans="6:27" ht="15" customHeight="1">
      <c r="F1257" s="3"/>
    </row>
    <row r="1258" spans="6:27" ht="15" customHeight="1">
      <c r="F1258" s="3"/>
    </row>
    <row r="1259" spans="6:27" ht="15" customHeight="1">
      <c r="F1259" s="3"/>
    </row>
    <row r="1260" spans="6:27" ht="15" customHeight="1">
      <c r="F1260" s="3"/>
    </row>
    <row r="1261" spans="6:27" ht="15" customHeight="1">
      <c r="F1261" s="4"/>
    </row>
    <row r="1262" spans="6:27" ht="15" customHeight="1">
      <c r="F1262" s="4"/>
    </row>
    <row r="1263" spans="6:27" ht="15" customHeight="1">
      <c r="F1263" s="3"/>
    </row>
    <row r="1264" spans="6:27" ht="15" customHeight="1">
      <c r="F1264" s="3"/>
    </row>
    <row r="1265" spans="6:27" ht="15" customHeight="1">
      <c r="F1265" s="3"/>
      <c r="G1265" s="3"/>
      <c r="H1265" s="3"/>
      <c r="I1265" s="3"/>
      <c r="J1265" s="3"/>
      <c r="K1265" s="3"/>
      <c r="L1265" s="3"/>
      <c r="M1265" s="3"/>
      <c r="N1265" s="3"/>
      <c r="O1265" s="3"/>
      <c r="P1265" s="3"/>
      <c r="Q1265" s="3"/>
      <c r="R1265" s="3"/>
      <c r="S1265" s="3"/>
      <c r="T1265" s="3"/>
      <c r="U1265" s="3"/>
      <c r="V1265" s="3"/>
      <c r="W1265" s="3"/>
      <c r="X1265" s="3"/>
      <c r="Y1265" s="3"/>
      <c r="Z1265" s="3"/>
      <c r="AA1265" s="3"/>
    </row>
    <row r="1266" spans="6:27" ht="15" customHeight="1">
      <c r="F1266" s="3"/>
      <c r="G1266" s="3"/>
      <c r="H1266" s="3"/>
      <c r="J1266" s="3"/>
      <c r="K1266" s="3"/>
      <c r="L1266" s="3"/>
      <c r="M1266" s="3"/>
      <c r="N1266" s="3"/>
      <c r="O1266" s="3"/>
      <c r="P1266" s="3"/>
      <c r="Q1266" s="3"/>
      <c r="R1266" s="3"/>
      <c r="S1266" s="3"/>
      <c r="T1266" s="3"/>
      <c r="U1266" s="3"/>
      <c r="V1266" s="3"/>
      <c r="W1266" s="3"/>
      <c r="X1266" s="3"/>
      <c r="Y1266" s="3"/>
      <c r="Z1266" s="3"/>
      <c r="AA1266" s="3"/>
    </row>
    <row r="1267" spans="6:27" ht="15" customHeight="1">
      <c r="F1267" s="3"/>
    </row>
    <row r="1268" spans="6:27" ht="15" customHeight="1">
      <c r="F1268" s="3"/>
    </row>
    <row r="1269" spans="6:27" ht="15" customHeight="1">
      <c r="F1269" s="3"/>
    </row>
    <row r="1270" spans="6:27" ht="15" customHeight="1">
      <c r="F1270" s="3"/>
    </row>
    <row r="1271" spans="6:27" ht="15" customHeight="1">
      <c r="F1271" s="30"/>
    </row>
    <row r="1272" spans="6:27" ht="15" customHeight="1">
      <c r="F1272" s="30"/>
      <c r="G1272" s="3"/>
      <c r="H1272" s="3"/>
      <c r="J1272" s="3"/>
      <c r="K1272" s="3"/>
      <c r="L1272" s="3"/>
      <c r="M1272" s="3"/>
      <c r="N1272" s="3"/>
      <c r="O1272" s="3"/>
      <c r="P1272" s="3"/>
      <c r="Q1272" s="3"/>
      <c r="R1272" s="3"/>
      <c r="S1272" s="3"/>
      <c r="T1272" s="3"/>
      <c r="U1272" s="3"/>
      <c r="V1272" s="3"/>
      <c r="W1272" s="3"/>
      <c r="X1272" s="3"/>
      <c r="Y1272" s="3"/>
      <c r="Z1272" s="3"/>
      <c r="AA1272" s="3"/>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0"/>
    </row>
    <row r="1283" spans="6:6" ht="15" customHeight="1">
      <c r="F1283" s="30"/>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
    </row>
    <row r="1293" spans="6:6" ht="15" customHeight="1">
      <c r="F1293" s="3"/>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row>
    <row r="1315" spans="6:27" ht="15" customHeight="1">
      <c r="F1315" s="30"/>
    </row>
    <row r="1316" spans="6:27" ht="15" customHeight="1">
      <c r="F1316" s="30"/>
      <c r="I1316" s="3"/>
    </row>
    <row r="1317" spans="6:27" ht="15" customHeight="1">
      <c r="F1317" s="30"/>
      <c r="I1317" s="3"/>
    </row>
    <row r="1318" spans="6:27" ht="15" customHeight="1">
      <c r="F1318" s="30"/>
    </row>
    <row r="1319" spans="6:27" ht="15" customHeight="1">
      <c r="F1319" s="30"/>
    </row>
    <row r="1320" spans="6:27" ht="15" customHeight="1">
      <c r="F1320" s="30"/>
    </row>
    <row r="1321" spans="6:27" ht="15" customHeight="1">
      <c r="F1321" s="30"/>
      <c r="G1321" s="3"/>
      <c r="H1321" s="3"/>
      <c r="J1321" s="3"/>
      <c r="K1321" s="3"/>
      <c r="L1321" s="3"/>
      <c r="M1321" s="3"/>
      <c r="N1321" s="3"/>
      <c r="O1321" s="3"/>
      <c r="P1321" s="3"/>
      <c r="Q1321" s="3"/>
      <c r="R1321" s="3"/>
      <c r="S1321" s="3"/>
      <c r="T1321" s="3"/>
      <c r="U1321" s="3"/>
      <c r="V1321" s="3"/>
      <c r="W1321" s="3"/>
      <c r="X1321" s="3"/>
      <c r="Y1321" s="3"/>
      <c r="Z1321" s="3"/>
      <c r="AA1321" s="3"/>
    </row>
    <row r="1322" spans="6:27" ht="15" customHeight="1">
      <c r="F1322" s="30"/>
    </row>
    <row r="1323" spans="6:27" ht="15" customHeight="1">
      <c r="F1323" s="30"/>
      <c r="I1323" s="3"/>
    </row>
    <row r="1324" spans="6:27" ht="15" customHeight="1">
      <c r="F1324" s="30"/>
    </row>
    <row r="1325" spans="6:27" ht="15" customHeight="1">
      <c r="F1325" s="30"/>
    </row>
    <row r="1326" spans="6:27" ht="15" customHeight="1">
      <c r="F1326" s="30"/>
    </row>
    <row r="1327" spans="6:27" ht="15" customHeight="1">
      <c r="F1327" s="30"/>
    </row>
    <row r="1328" spans="6:27" ht="15" customHeight="1">
      <c r="F1328" s="30"/>
      <c r="I1328" s="3"/>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30"/>
    </row>
    <row r="1360" spans="6:6" ht="15" customHeight="1">
      <c r="F1360" s="30"/>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row>
    <row r="1368" spans="6:27" ht="15" customHeight="1">
      <c r="F1368" s="4"/>
    </row>
    <row r="1369" spans="6:27" ht="15" customHeight="1">
      <c r="F1369" s="4"/>
      <c r="G1369" s="3"/>
      <c r="H1369" s="3"/>
      <c r="J1369" s="3"/>
      <c r="K1369" s="3"/>
      <c r="L1369" s="3"/>
      <c r="M1369" s="3"/>
      <c r="N1369" s="3"/>
      <c r="O1369" s="3"/>
      <c r="P1369" s="3"/>
      <c r="Q1369" s="3"/>
      <c r="R1369" s="3"/>
      <c r="S1369" s="3"/>
      <c r="T1369" s="3"/>
      <c r="U1369" s="3"/>
      <c r="V1369" s="3"/>
      <c r="W1369" s="3"/>
      <c r="X1369" s="3"/>
      <c r="Y1369" s="3"/>
      <c r="Z1369" s="3"/>
      <c r="AA1369" s="3"/>
    </row>
    <row r="1370" spans="6:27" ht="15" customHeight="1">
      <c r="F1370" s="4"/>
    </row>
    <row r="1371" spans="6:27" ht="15" customHeight="1">
      <c r="F1371" s="4"/>
    </row>
    <row r="1372" spans="6:27" ht="15" customHeight="1">
      <c r="F1372" s="4"/>
    </row>
    <row r="1373" spans="6:27" ht="15" customHeight="1">
      <c r="F1373" s="4"/>
    </row>
    <row r="1374" spans="6:27" ht="15" customHeight="1">
      <c r="F1374" s="4"/>
    </row>
    <row r="1375" spans="6:27" ht="15" customHeight="1">
      <c r="F1375" s="3"/>
    </row>
    <row r="1376" spans="6:27" ht="15" customHeight="1">
      <c r="F1376" s="3"/>
    </row>
    <row r="1377" spans="6:27" ht="15" customHeight="1">
      <c r="F1377" s="3"/>
    </row>
    <row r="1378" spans="6:27" ht="15" customHeight="1">
      <c r="F1378" s="3"/>
    </row>
    <row r="1379" spans="6:27" ht="15" customHeight="1">
      <c r="F1379" s="3"/>
    </row>
    <row r="1380" spans="6:27" ht="15" customHeight="1">
      <c r="F1380" s="3"/>
      <c r="G1380" s="3"/>
      <c r="H1380" s="3"/>
      <c r="J1380" s="3"/>
      <c r="K1380" s="3"/>
      <c r="L1380" s="3"/>
      <c r="M1380" s="3"/>
      <c r="N1380" s="3"/>
      <c r="O1380" s="3"/>
      <c r="P1380" s="3"/>
      <c r="Q1380" s="3"/>
      <c r="R1380" s="3"/>
      <c r="S1380" s="3"/>
      <c r="T1380" s="3"/>
      <c r="U1380" s="3"/>
      <c r="V1380" s="3"/>
      <c r="W1380" s="3"/>
      <c r="X1380" s="3"/>
      <c r="Y1380" s="3"/>
      <c r="Z1380" s="3"/>
      <c r="AA1380" s="3"/>
    </row>
    <row r="1381" spans="6:27" ht="15" customHeight="1">
      <c r="F1381" s="3"/>
    </row>
    <row r="1382" spans="6:27" ht="15" customHeight="1">
      <c r="F1382" s="3"/>
    </row>
    <row r="1383" spans="6:27" ht="15" customHeight="1">
      <c r="F1383" s="3"/>
    </row>
    <row r="1384" spans="6:27" ht="15" customHeight="1">
      <c r="F1384" s="3"/>
    </row>
    <row r="1385" spans="6:27" ht="15" customHeight="1">
      <c r="F1385" s="3"/>
    </row>
    <row r="1386" spans="6:27" ht="15" customHeight="1">
      <c r="F1386" s="3"/>
      <c r="G1386" s="3"/>
      <c r="H1386" s="3"/>
      <c r="J1386" s="3"/>
      <c r="K1386" s="3"/>
      <c r="L1386" s="3"/>
      <c r="M1386" s="3"/>
      <c r="N1386" s="3"/>
      <c r="O1386" s="3"/>
      <c r="P1386" s="3"/>
      <c r="Q1386" s="3"/>
      <c r="R1386" s="3"/>
      <c r="S1386" s="3"/>
      <c r="T1386" s="3"/>
      <c r="U1386" s="3"/>
      <c r="V1386" s="3"/>
      <c r="W1386" s="3"/>
      <c r="X1386" s="3"/>
      <c r="Y1386" s="3"/>
      <c r="Z1386" s="3"/>
      <c r="AA1386" s="3"/>
    </row>
    <row r="1387" spans="6:27" ht="15" customHeight="1">
      <c r="F1387" s="3"/>
    </row>
    <row r="1388" spans="6:27" ht="15" customHeight="1">
      <c r="F1388" s="3"/>
    </row>
    <row r="1389" spans="6:27" ht="15" customHeight="1">
      <c r="F1389" s="3"/>
      <c r="G1389" s="3"/>
      <c r="H1389" s="3"/>
      <c r="J1389" s="3"/>
      <c r="K1389" s="3"/>
      <c r="L1389" s="3"/>
      <c r="M1389" s="3"/>
      <c r="N1389" s="3"/>
      <c r="O1389" s="3"/>
      <c r="P1389" s="3"/>
      <c r="Q1389" s="3"/>
      <c r="R1389" s="3"/>
      <c r="S1389" s="3"/>
      <c r="T1389" s="3"/>
      <c r="U1389" s="3"/>
      <c r="V1389" s="3"/>
      <c r="W1389" s="3"/>
      <c r="X1389" s="3"/>
      <c r="Y1389" s="3"/>
      <c r="Z1389" s="3"/>
      <c r="AA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row>
    <row r="1419" spans="6:9" ht="15" customHeight="1">
      <c r="F1419" s="3"/>
    </row>
    <row r="1420" spans="6:9" ht="15" customHeight="1">
      <c r="F1420" s="3"/>
      <c r="I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row>
    <row r="1430" spans="6:9" ht="15" customHeight="1">
      <c r="F1430" s="3"/>
    </row>
    <row r="1431" spans="6:9" ht="15" customHeight="1">
      <c r="F1431" s="3"/>
      <c r="I1431" s="3"/>
    </row>
    <row r="1432" spans="6:9" ht="15" customHeight="1">
      <c r="F1432" s="3"/>
    </row>
    <row r="1433" spans="6:9" ht="15" customHeight="1">
      <c r="F1433" s="3"/>
    </row>
    <row r="1434" spans="6:9" ht="15" customHeight="1">
      <c r="F1434" s="3"/>
    </row>
    <row r="1435" spans="6:9" ht="15" customHeight="1">
      <c r="F1435" s="3"/>
    </row>
    <row r="1436" spans="6:9" ht="15" customHeight="1">
      <c r="F1436" s="3"/>
    </row>
    <row r="1437" spans="6:9" ht="15" customHeight="1">
      <c r="F1437" s="3"/>
      <c r="I1437" s="3"/>
    </row>
    <row r="1438" spans="6:9" ht="15" customHeight="1">
      <c r="F1438" s="3"/>
    </row>
    <row r="1439" spans="6:9" ht="15" customHeight="1">
      <c r="F1439" s="3"/>
    </row>
    <row r="1440" spans="6:9" ht="15" customHeight="1">
      <c r="F1440" s="3"/>
      <c r="I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row>
    <row r="1449" spans="6:27" ht="15" customHeight="1">
      <c r="F1449" s="3"/>
    </row>
    <row r="1450" spans="6:27" ht="15" customHeight="1">
      <c r="F1450" s="3"/>
      <c r="G1450" s="3"/>
      <c r="H1450" s="3"/>
      <c r="J1450" s="3"/>
      <c r="K1450" s="3"/>
      <c r="L1450" s="3"/>
      <c r="M1450" s="3"/>
      <c r="N1450" s="3"/>
      <c r="O1450" s="3"/>
      <c r="P1450" s="3"/>
      <c r="Q1450" s="3"/>
      <c r="R1450" s="3"/>
      <c r="S1450" s="3"/>
      <c r="T1450" s="3"/>
      <c r="U1450" s="3"/>
      <c r="V1450" s="3"/>
      <c r="W1450" s="3"/>
      <c r="X1450" s="3"/>
      <c r="Y1450" s="3"/>
      <c r="Z1450" s="3"/>
      <c r="AA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row>
    <row r="1460" spans="6:13" ht="15" customHeight="1">
      <c r="F1460" s="3"/>
    </row>
    <row r="1461" spans="6:13" ht="15" customHeight="1">
      <c r="F1461" s="3"/>
      <c r="K1461" s="3"/>
      <c r="L1461" s="3"/>
      <c r="M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row>
    <row r="1485" spans="6:27" ht="15" customHeight="1">
      <c r="F1485" s="3"/>
    </row>
    <row r="1486" spans="6:27" ht="15" customHeight="1">
      <c r="F1486" s="3"/>
      <c r="G1486" s="3"/>
      <c r="H1486" s="3"/>
      <c r="J1486" s="3"/>
      <c r="K1486" s="3"/>
      <c r="L1486" s="3"/>
      <c r="M1486" s="3"/>
      <c r="N1486" s="3"/>
      <c r="O1486" s="3"/>
      <c r="P1486" s="3"/>
      <c r="Q1486" s="3"/>
      <c r="R1486" s="3"/>
      <c r="S1486" s="3"/>
      <c r="T1486" s="3"/>
      <c r="U1486" s="3"/>
      <c r="V1486" s="3"/>
      <c r="W1486" s="3"/>
      <c r="X1486" s="3"/>
      <c r="Y1486" s="3"/>
      <c r="Z1486" s="3"/>
      <c r="AA1486" s="3"/>
    </row>
    <row r="1487" spans="6:27" ht="15" customHeight="1">
      <c r="F1487" s="3"/>
    </row>
    <row r="1488" spans="6:27" ht="15" customHeight="1">
      <c r="F1488" s="3"/>
    </row>
    <row r="1489" spans="6:27" ht="15" customHeight="1">
      <c r="F1489" s="3"/>
      <c r="G1489" s="3"/>
      <c r="H1489" s="3"/>
      <c r="J1489" s="3"/>
      <c r="K1489" s="3"/>
      <c r="L1489" s="3"/>
      <c r="M1489" s="3"/>
      <c r="N1489" s="3"/>
      <c r="O1489" s="3"/>
      <c r="P1489" s="3"/>
      <c r="Q1489" s="3"/>
      <c r="R1489" s="3"/>
      <c r="S1489" s="3"/>
      <c r="T1489" s="3"/>
      <c r="U1489" s="3"/>
      <c r="V1489" s="3"/>
      <c r="W1489" s="3"/>
      <c r="X1489" s="3"/>
      <c r="Y1489" s="3"/>
      <c r="Z1489" s="3"/>
      <c r="AA1489" s="3"/>
    </row>
    <row r="1490" spans="6:27" ht="15" customHeight="1">
      <c r="F1490" s="3"/>
      <c r="G1490" s="3"/>
      <c r="H1490" s="3"/>
      <c r="J1490" s="3"/>
      <c r="K1490" s="3"/>
      <c r="L1490" s="3"/>
      <c r="M1490" s="3"/>
      <c r="N1490" s="3"/>
      <c r="O1490" s="3"/>
      <c r="P1490" s="3"/>
      <c r="Q1490" s="3"/>
      <c r="R1490" s="3"/>
      <c r="S1490" s="3"/>
      <c r="T1490" s="3"/>
      <c r="U1490" s="3"/>
      <c r="V1490" s="3"/>
      <c r="W1490" s="3"/>
      <c r="X1490" s="3"/>
      <c r="Y1490" s="3"/>
      <c r="Z1490" s="3"/>
      <c r="AA1490" s="3"/>
    </row>
    <row r="1491" spans="6:27" ht="15" customHeight="1">
      <c r="F1491" s="3"/>
    </row>
    <row r="1492" spans="6:27" ht="15" customHeight="1">
      <c r="F1492" s="3"/>
    </row>
    <row r="1493" spans="6:27" ht="15" customHeight="1">
      <c r="F1493" s="3"/>
      <c r="I1493" s="3"/>
    </row>
    <row r="1494" spans="6:27" ht="15" customHeight="1">
      <c r="F1494" s="3"/>
    </row>
    <row r="1495" spans="6:27" ht="15" customHeight="1">
      <c r="F1495" s="3"/>
    </row>
    <row r="1496" spans="6:27" ht="15" customHeight="1">
      <c r="F1496" s="3"/>
      <c r="G1496" s="3"/>
      <c r="H1496" s="3"/>
      <c r="J1496" s="3"/>
      <c r="K1496" s="3"/>
      <c r="L1496" s="3"/>
      <c r="M1496" s="3"/>
      <c r="N1496" s="3"/>
      <c r="O1496" s="3"/>
      <c r="P1496" s="3"/>
      <c r="Q1496" s="3"/>
      <c r="R1496" s="3"/>
      <c r="S1496" s="3"/>
      <c r="T1496" s="3"/>
      <c r="U1496" s="3"/>
      <c r="V1496" s="3"/>
      <c r="W1496" s="3"/>
      <c r="X1496" s="3"/>
      <c r="Y1496" s="3"/>
      <c r="Z1496" s="3"/>
      <c r="AA1496" s="3"/>
    </row>
    <row r="1497" spans="6:27" ht="15" customHeight="1">
      <c r="F1497" s="3"/>
    </row>
    <row r="1498" spans="6:27" ht="15" customHeight="1">
      <c r="F1498" s="3"/>
    </row>
    <row r="1499" spans="6:27" ht="15" customHeight="1">
      <c r="F1499" s="3"/>
    </row>
    <row r="1500" spans="6:27" ht="15" customHeight="1">
      <c r="F1500" s="3"/>
    </row>
    <row r="1501" spans="6:27" ht="15" customHeight="1">
      <c r="F1501" s="3"/>
      <c r="I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9" ht="15" customHeight="1">
      <c r="F1537" s="3"/>
    </row>
    <row r="1538" spans="6:9" ht="15" customHeight="1">
      <c r="F1538" s="3"/>
    </row>
    <row r="1539" spans="6:9" ht="15" customHeight="1">
      <c r="F1539" s="3"/>
    </row>
    <row r="1540" spans="6:9" ht="15" customHeight="1">
      <c r="F1540" s="3"/>
      <c r="I1540" s="3"/>
    </row>
    <row r="1541" spans="6:9" ht="15" customHeight="1">
      <c r="F1541" s="3"/>
      <c r="I1541" s="3"/>
    </row>
    <row r="1542" spans="6:9" ht="15" customHeight="1">
      <c r="F1542" s="3"/>
    </row>
    <row r="1543" spans="6:9" ht="15" customHeight="1">
      <c r="F1543" s="3"/>
    </row>
    <row r="1544" spans="6:9" ht="15" customHeight="1">
      <c r="F1544" s="3"/>
    </row>
    <row r="1545" spans="6:9" ht="15" customHeight="1">
      <c r="F1545" s="3"/>
    </row>
    <row r="1546" spans="6:9" ht="15.75" customHeight="1">
      <c r="F1546" s="3"/>
    </row>
    <row r="1547" spans="6:9" ht="15.75" customHeight="1">
      <c r="F1547" s="3"/>
      <c r="I1547" s="3"/>
    </row>
    <row r="1548" spans="6:9" ht="15.75" customHeight="1">
      <c r="F1548" s="3"/>
    </row>
    <row r="1549" spans="6:9" ht="15.75" customHeight="1">
      <c r="F1549" s="3"/>
    </row>
    <row r="1550" spans="6:9" ht="15.75" customHeight="1">
      <c r="F1550" s="3"/>
    </row>
    <row r="1551" spans="6:9" ht="15.75" customHeight="1">
      <c r="F1551" s="3"/>
    </row>
    <row r="1552" spans="6:9" ht="15.75" customHeight="1">
      <c r="F1552" s="3"/>
    </row>
    <row r="1553" spans="6:27" ht="15.75" customHeight="1">
      <c r="F1553" s="3"/>
      <c r="G1553" s="3"/>
      <c r="H1553" s="3"/>
      <c r="J1553" s="3"/>
      <c r="K1553" s="3"/>
      <c r="L1553" s="3"/>
      <c r="M1553" s="3"/>
      <c r="N1553" s="3"/>
      <c r="O1553" s="3"/>
      <c r="P1553" s="3"/>
      <c r="Q1553" s="3"/>
      <c r="R1553" s="3"/>
      <c r="S1553" s="3"/>
      <c r="T1553" s="3"/>
      <c r="U1553" s="3"/>
      <c r="V1553" s="3"/>
      <c r="W1553" s="3"/>
      <c r="X1553" s="3"/>
      <c r="Y1553" s="3"/>
      <c r="Z1553" s="3"/>
      <c r="AA1553" s="3"/>
    </row>
    <row r="1554" spans="6:27" ht="15.75" customHeight="1">
      <c r="F1554" s="3"/>
    </row>
    <row r="1555" spans="6:27" ht="15.75" customHeight="1">
      <c r="F1555" s="3"/>
    </row>
    <row r="1556" spans="6:27" ht="15.75" customHeight="1">
      <c r="F1556" s="3"/>
    </row>
    <row r="1557" spans="6:27" ht="15.75" customHeight="1">
      <c r="F1557" s="3"/>
    </row>
    <row r="1558" spans="6:27" ht="15.75" customHeight="1">
      <c r="F1558" s="3"/>
    </row>
    <row r="1559" spans="6:27" ht="15.75" customHeight="1">
      <c r="F1559" s="3"/>
    </row>
    <row r="1560" spans="6:27" ht="15.75" customHeight="1">
      <c r="F1560" s="3"/>
      <c r="I1560" s="3"/>
    </row>
    <row r="1561" spans="6:27" ht="15.75" customHeight="1">
      <c r="F1561" s="3"/>
    </row>
    <row r="1562" spans="6:27" ht="15.75" customHeight="1">
      <c r="F1562" s="3"/>
    </row>
    <row r="1563" spans="6:27" ht="15.75" customHeight="1">
      <c r="F1563" s="3"/>
    </row>
    <row r="1564" spans="6:27" ht="15.75" customHeight="1">
      <c r="F1564" s="3"/>
    </row>
    <row r="1565" spans="6:27" ht="15.75" customHeight="1">
      <c r="F1565" s="3"/>
    </row>
    <row r="1566" spans="6:27" ht="15.75" customHeight="1">
      <c r="F1566" s="3"/>
    </row>
    <row r="1567" spans="6:27" ht="15.75" customHeight="1">
      <c r="F1567" s="3"/>
    </row>
    <row r="1568" spans="6:27" ht="15.75" customHeight="1">
      <c r="F1568" s="3"/>
    </row>
    <row r="1569" spans="6:6" ht="15.75" customHeight="1">
      <c r="F1569" s="3"/>
    </row>
    <row r="1570" spans="6:6" ht="15.75" customHeight="1">
      <c r="F1570" s="3"/>
    </row>
    <row r="1571" spans="6:6" ht="15.75" customHeight="1">
      <c r="F1571" s="3"/>
    </row>
    <row r="1572" spans="6:6" ht="15.75" customHeight="1">
      <c r="F1572" s="3"/>
    </row>
    <row r="1573" spans="6:6" ht="15.75" customHeight="1">
      <c r="F1573" s="3"/>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row r="1586" spans="6:6" ht="15" customHeight="1">
      <c r="F1586" s="4"/>
    </row>
    <row r="1587" spans="6:6" ht="15" customHeight="1">
      <c r="F1587" s="4"/>
    </row>
  </sheetData>
  <autoFilter ref="A1:E1391" xr:uid="{00000000-0009-0000-0000-00000F000000}">
    <sortState xmlns:xlrd2="http://schemas.microsoft.com/office/spreadsheetml/2017/richdata2" ref="A2:E1391">
      <sortCondition ref="A1:A1391"/>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1159</v>
      </c>
      <c r="O1" t="s">
        <v>17</v>
      </c>
      <c r="P1" t="s">
        <v>18</v>
      </c>
      <c r="Q1" t="s">
        <v>19</v>
      </c>
      <c r="R1" t="s">
        <v>5</v>
      </c>
      <c r="S1"/>
      <c r="T1"/>
      <c r="U1"/>
      <c r="V1" t="s">
        <v>6</v>
      </c>
      <c r="W1" t="s">
        <v>8</v>
      </c>
      <c r="X1" t="s">
        <v>9</v>
      </c>
      <c r="Y1" t="s">
        <v>10</v>
      </c>
      <c r="Z1" t="s">
        <v>11</v>
      </c>
      <c r="AA1" t="s">
        <v>12</v>
      </c>
      <c r="AB1" t="s">
        <v>14</v>
      </c>
      <c r="AC1" t="s">
        <v>1159</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2026-08-13T03:08:01Z</dcterms:modified>
</cp:coreProperties>
</file>